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steen/Desktop/"/>
    </mc:Choice>
  </mc:AlternateContent>
  <xr:revisionPtr revIDLastSave="0" documentId="13_ncr:1_{2AE3CAC6-A407-144F-AB52-7581D736CAC1}" xr6:coauthVersionLast="47" xr6:coauthVersionMax="47" xr10:uidLastSave="{00000000-0000-0000-0000-000000000000}"/>
  <bookViews>
    <workbookView xWindow="0" yWindow="500" windowWidth="28800" windowHeight="15820" tabRatio="839" xr2:uid="{00000000-000D-0000-FFFF-FFFF00000000}"/>
  </bookViews>
  <sheets>
    <sheet name="README" sheetId="21" r:id="rId1"/>
    <sheet name="Abbreviated Summary Table" sheetId="22" r:id="rId2"/>
    <sheet name="ResOutdoorSummary" sheetId="16" r:id="rId3"/>
    <sheet name="SF_Outdoor_2020" sheetId="5" r:id="rId4"/>
    <sheet name="SF_BAU_Outdoor_2070" sheetId="13" r:id="rId5"/>
    <sheet name="SF_SPUR_Outdoor_2070" sheetId="14" r:id="rId6"/>
    <sheet name="MF_Outdoor" sheetId="15" r:id="rId7"/>
    <sheet name="2070HousingTypeTables" sheetId="12" r:id="rId8"/>
    <sheet name="2070HousingAppendixTable" sheetId="18" r:id="rId9"/>
    <sheet name="ETPrecipCalcs" sheetId="2" r:id="rId10"/>
    <sheet name="IrrigatedAreaAppendixTable" sheetId="19" r:id="rId11"/>
    <sheet name="MF AppendixTable" sheetId="20" r:id="rId12"/>
  </sheets>
  <externalReferences>
    <externalReference r:id="rId13"/>
  </externalReferences>
  <definedNames>
    <definedName name="dist">[1]Input!$B$41</definedName>
    <definedName name="PerCapitaWaterUse">#REF!</definedName>
    <definedName name="Predicted_Population_207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2" l="1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3" i="22"/>
  <c r="O2" i="22"/>
  <c r="N2" i="22"/>
  <c r="M2" i="22"/>
  <c r="L2" i="22"/>
  <c r="K2" i="22"/>
  <c r="J2" i="22"/>
  <c r="I2" i="22"/>
  <c r="H2" i="22"/>
  <c r="G2" i="22"/>
  <c r="F2" i="22"/>
  <c r="E2" i="22"/>
  <c r="D2" i="22"/>
  <c r="C2" i="22"/>
  <c r="B2" i="22"/>
  <c r="A2" i="22"/>
  <c r="O1" i="22"/>
  <c r="N1" i="22"/>
  <c r="M1" i="22"/>
  <c r="L1" i="22"/>
  <c r="K1" i="22"/>
  <c r="J1" i="22"/>
  <c r="I1" i="22"/>
  <c r="H1" i="22"/>
  <c r="G1" i="22"/>
  <c r="F1" i="22"/>
  <c r="E1" i="22"/>
  <c r="D1" i="22"/>
  <c r="C1" i="22"/>
  <c r="B1" i="22"/>
  <c r="A1" i="22"/>
  <c r="C54" i="15" l="1"/>
  <c r="B54" i="15"/>
  <c r="G54" i="15" s="1"/>
  <c r="J46" i="15"/>
  <c r="J47" i="15"/>
  <c r="J48" i="15"/>
  <c r="J49" i="15"/>
  <c r="J50" i="15"/>
  <c r="J51" i="15"/>
  <c r="J52" i="15"/>
  <c r="J53" i="15"/>
  <c r="K53" i="15" s="1"/>
  <c r="J45" i="15"/>
  <c r="G46" i="15"/>
  <c r="K46" i="15" s="1"/>
  <c r="G47" i="15"/>
  <c r="K47" i="15" s="1"/>
  <c r="G48" i="15"/>
  <c r="K48" i="15" s="1"/>
  <c r="G49" i="15"/>
  <c r="G50" i="15"/>
  <c r="G51" i="15"/>
  <c r="K51" i="15" s="1"/>
  <c r="G52" i="15"/>
  <c r="K52" i="15" s="1"/>
  <c r="G53" i="15"/>
  <c r="G45" i="15"/>
  <c r="K45" i="15" s="1"/>
  <c r="B12" i="5"/>
  <c r="C25" i="16"/>
  <c r="C26" i="16"/>
  <c r="C27" i="16"/>
  <c r="C28" i="16"/>
  <c r="C29" i="16"/>
  <c r="C30" i="16"/>
  <c r="C31" i="16"/>
  <c r="C32" i="16"/>
  <c r="C24" i="16"/>
  <c r="B25" i="16"/>
  <c r="B26" i="16"/>
  <c r="B27" i="16"/>
  <c r="B28" i="16"/>
  <c r="B29" i="16"/>
  <c r="B30" i="16"/>
  <c r="B31" i="16"/>
  <c r="B32" i="16"/>
  <c r="B24" i="16"/>
  <c r="B14" i="15"/>
  <c r="K6" i="15"/>
  <c r="K7" i="15"/>
  <c r="K8" i="15"/>
  <c r="K9" i="15"/>
  <c r="K10" i="15"/>
  <c r="K11" i="15"/>
  <c r="K12" i="15"/>
  <c r="K13" i="15"/>
  <c r="K5" i="15"/>
  <c r="B8" i="16"/>
  <c r="B9" i="16"/>
  <c r="B10" i="16"/>
  <c r="B11" i="16"/>
  <c r="B12" i="16"/>
  <c r="B13" i="16"/>
  <c r="B14" i="16"/>
  <c r="B15" i="16"/>
  <c r="B7" i="16"/>
  <c r="K49" i="15" l="1"/>
  <c r="K50" i="15"/>
  <c r="J54" i="15"/>
  <c r="K54" i="15" s="1"/>
  <c r="B24" i="19" l="1"/>
  <c r="D3" i="19"/>
  <c r="D4" i="19"/>
  <c r="D5" i="19"/>
  <c r="D6" i="19"/>
  <c r="D7" i="19"/>
  <c r="D8" i="19"/>
  <c r="D9" i="19"/>
  <c r="D10" i="19"/>
  <c r="D2" i="19"/>
  <c r="X7" i="16" l="1"/>
  <c r="X8" i="16"/>
  <c r="X9" i="16"/>
  <c r="X10" i="16"/>
  <c r="X11" i="16"/>
  <c r="X12" i="16"/>
  <c r="X13" i="16"/>
  <c r="X14" i="16"/>
  <c r="X15" i="16"/>
  <c r="X24" i="16"/>
  <c r="Y24" i="16"/>
  <c r="X25" i="16"/>
  <c r="Y25" i="16"/>
  <c r="X26" i="16"/>
  <c r="Y26" i="16"/>
  <c r="X27" i="16"/>
  <c r="Y27" i="16"/>
  <c r="Y28" i="16"/>
  <c r="Y29" i="16"/>
  <c r="Y30" i="16"/>
  <c r="Y31" i="16"/>
  <c r="Y32" i="16"/>
  <c r="X28" i="16"/>
  <c r="X29" i="16"/>
  <c r="X30" i="16"/>
  <c r="X31" i="16"/>
  <c r="X32" i="16"/>
  <c r="B42" i="16" l="1"/>
  <c r="X42" i="16" s="1"/>
  <c r="B43" i="16"/>
  <c r="X43" i="16" s="1"/>
  <c r="B44" i="16"/>
  <c r="X44" i="16" s="1"/>
  <c r="B45" i="16"/>
  <c r="X45" i="16" s="1"/>
  <c r="B46" i="16"/>
  <c r="X46" i="16" s="1"/>
  <c r="B47" i="16"/>
  <c r="X47" i="16" s="1"/>
  <c r="B48" i="16"/>
  <c r="X48" i="16" s="1"/>
  <c r="B49" i="16"/>
  <c r="X49" i="16" s="1"/>
  <c r="B41" i="16"/>
  <c r="X41" i="16" s="1"/>
  <c r="C33" i="16"/>
  <c r="Y33" i="16" s="1"/>
  <c r="B33" i="16"/>
  <c r="X33" i="16" s="1"/>
  <c r="B16" i="16"/>
  <c r="B29" i="15"/>
  <c r="L6" i="15"/>
  <c r="G21" i="15" s="1"/>
  <c r="J25" i="16" s="1"/>
  <c r="AF25" i="16" s="1"/>
  <c r="L7" i="15"/>
  <c r="M22" i="15" s="1"/>
  <c r="S26" i="16" s="1"/>
  <c r="AO26" i="16" s="1"/>
  <c r="L8" i="15"/>
  <c r="N23" i="15" s="1"/>
  <c r="T27" i="16" s="1"/>
  <c r="AP27" i="16" s="1"/>
  <c r="I24" i="15"/>
  <c r="M28" i="16" s="1"/>
  <c r="AI28" i="16" s="1"/>
  <c r="L10" i="15"/>
  <c r="G25" i="15" s="1"/>
  <c r="J29" i="16" s="1"/>
  <c r="AF29" i="16" s="1"/>
  <c r="L11" i="15"/>
  <c r="M26" i="15" s="1"/>
  <c r="S30" i="16" s="1"/>
  <c r="AO30" i="16" s="1"/>
  <c r="L12" i="15"/>
  <c r="N27" i="15" s="1"/>
  <c r="T31" i="16" s="1"/>
  <c r="AP31" i="16" s="1"/>
  <c r="I28" i="15"/>
  <c r="M32" i="16" s="1"/>
  <c r="AI32" i="16" s="1"/>
  <c r="L5" i="15"/>
  <c r="I14" i="15"/>
  <c r="C14" i="15"/>
  <c r="D14" i="15"/>
  <c r="E14" i="15"/>
  <c r="F14" i="15"/>
  <c r="B12" i="14"/>
  <c r="B12" i="13"/>
  <c r="C12" i="14"/>
  <c r="G11" i="14"/>
  <c r="E11" i="14"/>
  <c r="G10" i="14"/>
  <c r="E10" i="14"/>
  <c r="G9" i="14"/>
  <c r="E9" i="14"/>
  <c r="J8" i="14"/>
  <c r="E58" i="14" s="1"/>
  <c r="K58" i="14" s="1"/>
  <c r="T12" i="16" s="1"/>
  <c r="AP12" i="16" s="1"/>
  <c r="G8" i="14"/>
  <c r="H8" i="14" s="1"/>
  <c r="E8" i="14"/>
  <c r="G7" i="14"/>
  <c r="E7" i="14"/>
  <c r="G6" i="14"/>
  <c r="E6" i="14"/>
  <c r="G5" i="14"/>
  <c r="E5" i="14"/>
  <c r="J4" i="14"/>
  <c r="G4" i="14"/>
  <c r="H4" i="14" s="1"/>
  <c r="E4" i="14"/>
  <c r="G3" i="14"/>
  <c r="J3" i="14" s="1"/>
  <c r="E39" i="14" s="1"/>
  <c r="K39" i="14" s="1"/>
  <c r="Q7" i="16" s="1"/>
  <c r="E3" i="14"/>
  <c r="C12" i="13"/>
  <c r="E4" i="13"/>
  <c r="E5" i="13"/>
  <c r="E6" i="13"/>
  <c r="E7" i="13"/>
  <c r="E8" i="13"/>
  <c r="E9" i="13"/>
  <c r="E10" i="13"/>
  <c r="E11" i="13"/>
  <c r="E3" i="13"/>
  <c r="G3" i="13"/>
  <c r="H3" i="13" s="1"/>
  <c r="G4" i="13"/>
  <c r="H4" i="13" s="1"/>
  <c r="G5" i="13"/>
  <c r="H5" i="13" s="1"/>
  <c r="G6" i="13"/>
  <c r="H6" i="13" s="1"/>
  <c r="G7" i="13"/>
  <c r="H7" i="13" s="1"/>
  <c r="G8" i="13"/>
  <c r="H8" i="13" s="1"/>
  <c r="G9" i="13"/>
  <c r="H9" i="13" s="1"/>
  <c r="G10" i="13"/>
  <c r="H10" i="13" s="1"/>
  <c r="G11" i="13"/>
  <c r="H11" i="13" s="1"/>
  <c r="Q29" i="12"/>
  <c r="J29" i="12"/>
  <c r="B5" i="12"/>
  <c r="B6" i="12"/>
  <c r="B7" i="12"/>
  <c r="B8" i="12"/>
  <c r="B9" i="12"/>
  <c r="B10" i="12"/>
  <c r="B11" i="12"/>
  <c r="B12" i="12"/>
  <c r="B4" i="12"/>
  <c r="S5" i="12"/>
  <c r="S6" i="12"/>
  <c r="S7" i="12"/>
  <c r="S8" i="12"/>
  <c r="S9" i="12"/>
  <c r="S10" i="12"/>
  <c r="S11" i="12"/>
  <c r="S12" i="12"/>
  <c r="S4" i="12"/>
  <c r="Q5" i="12"/>
  <c r="Q6" i="12"/>
  <c r="Q7" i="12"/>
  <c r="Q8" i="12"/>
  <c r="Q9" i="12"/>
  <c r="Q10" i="12"/>
  <c r="Q11" i="12"/>
  <c r="Q12" i="12"/>
  <c r="Q4" i="12"/>
  <c r="N5" i="12"/>
  <c r="N6" i="12"/>
  <c r="N7" i="12"/>
  <c r="N8" i="12"/>
  <c r="N9" i="12"/>
  <c r="N10" i="12"/>
  <c r="N11" i="12"/>
  <c r="N12" i="12"/>
  <c r="N4" i="12"/>
  <c r="L5" i="12"/>
  <c r="L6" i="12"/>
  <c r="L7" i="12"/>
  <c r="L8" i="12"/>
  <c r="L9" i="12"/>
  <c r="L10" i="12"/>
  <c r="L11" i="12"/>
  <c r="L12" i="12"/>
  <c r="L4" i="12"/>
  <c r="G5" i="12"/>
  <c r="G6" i="12"/>
  <c r="G7" i="12"/>
  <c r="O7" i="12" s="1"/>
  <c r="G8" i="12"/>
  <c r="O8" i="12" s="1"/>
  <c r="G9" i="12"/>
  <c r="G10" i="12"/>
  <c r="O10" i="12" s="1"/>
  <c r="G11" i="12"/>
  <c r="J11" i="12" s="1"/>
  <c r="G12" i="12"/>
  <c r="O12" i="12" s="1"/>
  <c r="G4" i="12"/>
  <c r="J4" i="12" s="1"/>
  <c r="D13" i="12"/>
  <c r="C13" i="12"/>
  <c r="B13" i="12" s="1"/>
  <c r="F12" i="12"/>
  <c r="E12" i="12"/>
  <c r="H12" i="12" s="1"/>
  <c r="K12" i="12" s="1"/>
  <c r="F11" i="12"/>
  <c r="E11" i="12"/>
  <c r="F10" i="12"/>
  <c r="E10" i="12"/>
  <c r="F9" i="12"/>
  <c r="E9" i="12"/>
  <c r="F8" i="12"/>
  <c r="E8" i="12"/>
  <c r="H8" i="12" s="1"/>
  <c r="K8" i="12" s="1"/>
  <c r="F7" i="12"/>
  <c r="I7" i="12" s="1"/>
  <c r="M7" i="12" s="1"/>
  <c r="E7" i="12"/>
  <c r="F6" i="12"/>
  <c r="E6" i="12"/>
  <c r="F5" i="12"/>
  <c r="E5" i="12"/>
  <c r="F4" i="12"/>
  <c r="E4" i="12"/>
  <c r="B25" i="5"/>
  <c r="F11" i="5"/>
  <c r="F10" i="5"/>
  <c r="F9" i="5"/>
  <c r="F8" i="5"/>
  <c r="F7" i="5"/>
  <c r="F6" i="5"/>
  <c r="F5" i="5"/>
  <c r="F4" i="5"/>
  <c r="F3" i="5"/>
  <c r="K40" i="2"/>
  <c r="J40" i="2"/>
  <c r="I40" i="2"/>
  <c r="H40" i="2"/>
  <c r="G40" i="2"/>
  <c r="F40" i="2"/>
  <c r="E40" i="2"/>
  <c r="D40" i="2"/>
  <c r="C40" i="2"/>
  <c r="K39" i="2"/>
  <c r="J39" i="2"/>
  <c r="I39" i="2"/>
  <c r="H39" i="2"/>
  <c r="G39" i="2"/>
  <c r="F39" i="2"/>
  <c r="E39" i="2"/>
  <c r="D39" i="2"/>
  <c r="C39" i="2"/>
  <c r="K13" i="2"/>
  <c r="J13" i="2"/>
  <c r="I13" i="2"/>
  <c r="H13" i="2"/>
  <c r="G13" i="2"/>
  <c r="F13" i="2"/>
  <c r="E13" i="2"/>
  <c r="D13" i="2"/>
  <c r="C13" i="2"/>
  <c r="B13" i="2"/>
  <c r="L12" i="2"/>
  <c r="B32" i="2" s="1"/>
  <c r="L11" i="2"/>
  <c r="B31" i="2" s="1"/>
  <c r="L10" i="2"/>
  <c r="B30" i="2" s="1"/>
  <c r="L9" i="2"/>
  <c r="B29" i="2" s="1"/>
  <c r="L8" i="2"/>
  <c r="B28" i="2" s="1"/>
  <c r="L7" i="2"/>
  <c r="B27" i="2" s="1"/>
  <c r="L6" i="2"/>
  <c r="B26" i="2" s="1"/>
  <c r="L5" i="2"/>
  <c r="B25" i="2" s="1"/>
  <c r="L4" i="2"/>
  <c r="B24" i="2" s="1"/>
  <c r="H3" i="14" l="1"/>
  <c r="H10" i="12"/>
  <c r="I3" i="14"/>
  <c r="D25" i="14" s="1"/>
  <c r="J25" i="14" s="1"/>
  <c r="M7" i="16" s="1"/>
  <c r="L13" i="12"/>
  <c r="J7" i="14"/>
  <c r="I7" i="14"/>
  <c r="D43" i="14" s="1"/>
  <c r="J43" i="14" s="1"/>
  <c r="P11" i="16" s="1"/>
  <c r="H7" i="14"/>
  <c r="J11" i="14"/>
  <c r="I11" i="14"/>
  <c r="D47" i="14" s="1"/>
  <c r="J47" i="14" s="1"/>
  <c r="P15" i="16" s="1"/>
  <c r="H11" i="14"/>
  <c r="AM7" i="16"/>
  <c r="I4" i="14"/>
  <c r="I8" i="14"/>
  <c r="E25" i="14"/>
  <c r="K25" i="14" s="1"/>
  <c r="N7" i="16" s="1"/>
  <c r="H20" i="15"/>
  <c r="K24" i="16" s="1"/>
  <c r="E20" i="15"/>
  <c r="G24" i="16" s="1"/>
  <c r="I21" i="15"/>
  <c r="M25" i="16" s="1"/>
  <c r="C27" i="15"/>
  <c r="D31" i="16" s="1"/>
  <c r="E25" i="15"/>
  <c r="G29" i="16" s="1"/>
  <c r="N25" i="15"/>
  <c r="T29" i="16" s="1"/>
  <c r="AP29" i="16" s="1"/>
  <c r="E23" i="15"/>
  <c r="G27" i="16" s="1"/>
  <c r="L25" i="15"/>
  <c r="Q29" i="16" s="1"/>
  <c r="AM29" i="16" s="1"/>
  <c r="L13" i="15"/>
  <c r="J28" i="15" s="1"/>
  <c r="N32" i="16" s="1"/>
  <c r="H21" i="15"/>
  <c r="K25" i="16" s="1"/>
  <c r="C21" i="15"/>
  <c r="D25" i="16" s="1"/>
  <c r="F25" i="15"/>
  <c r="H29" i="16" s="1"/>
  <c r="AD29" i="16" s="1"/>
  <c r="I27" i="15"/>
  <c r="M31" i="16" s="1"/>
  <c r="J25" i="15"/>
  <c r="N29" i="16" s="1"/>
  <c r="AJ29" i="16" s="1"/>
  <c r="D27" i="15"/>
  <c r="E31" i="16" s="1"/>
  <c r="AA31" i="16" s="1"/>
  <c r="H26" i="15"/>
  <c r="K30" i="16" s="1"/>
  <c r="AG30" i="16" s="1"/>
  <c r="M25" i="15"/>
  <c r="S29" i="16" s="1"/>
  <c r="F22" i="15"/>
  <c r="H26" i="16" s="1"/>
  <c r="AD26" i="16" s="1"/>
  <c r="H25" i="15"/>
  <c r="K29" i="16" s="1"/>
  <c r="K27" i="15"/>
  <c r="P31" i="16" s="1"/>
  <c r="M23" i="15"/>
  <c r="S27" i="16" s="1"/>
  <c r="N22" i="15"/>
  <c r="T26" i="16" s="1"/>
  <c r="L23" i="15"/>
  <c r="Q27" i="16" s="1"/>
  <c r="AM27" i="16" s="1"/>
  <c r="J23" i="15"/>
  <c r="N27" i="16" s="1"/>
  <c r="AJ27" i="16" s="1"/>
  <c r="C25" i="15"/>
  <c r="D29" i="16" s="1"/>
  <c r="D23" i="15"/>
  <c r="E27" i="16" s="1"/>
  <c r="AA27" i="16" s="1"/>
  <c r="E21" i="15"/>
  <c r="G25" i="16" s="1"/>
  <c r="F21" i="15"/>
  <c r="H25" i="16" s="1"/>
  <c r="AD25" i="16" s="1"/>
  <c r="H23" i="15"/>
  <c r="K27" i="16" s="1"/>
  <c r="AG27" i="16" s="1"/>
  <c r="I23" i="15"/>
  <c r="M27" i="16" s="1"/>
  <c r="K23" i="15"/>
  <c r="P27" i="16" s="1"/>
  <c r="M21" i="15"/>
  <c r="S25" i="16" s="1"/>
  <c r="N21" i="15"/>
  <c r="T25" i="16" s="1"/>
  <c r="AP25" i="16" s="1"/>
  <c r="L21" i="15"/>
  <c r="Q25" i="16" s="1"/>
  <c r="AM25" i="16" s="1"/>
  <c r="J21" i="15"/>
  <c r="N25" i="16" s="1"/>
  <c r="AJ25" i="16" s="1"/>
  <c r="C23" i="15"/>
  <c r="D27" i="16" s="1"/>
  <c r="E27" i="15"/>
  <c r="G31" i="16" s="1"/>
  <c r="F26" i="15"/>
  <c r="H30" i="16" s="1"/>
  <c r="AD30" i="16" s="1"/>
  <c r="H27" i="15"/>
  <c r="K31" i="16" s="1"/>
  <c r="AG31" i="16" s="1"/>
  <c r="H22" i="15"/>
  <c r="K26" i="16" s="1"/>
  <c r="AG26" i="16" s="1"/>
  <c r="I25" i="15"/>
  <c r="M29" i="16" s="1"/>
  <c r="M27" i="15"/>
  <c r="S31" i="16" s="1"/>
  <c r="N26" i="15"/>
  <c r="T30" i="16" s="1"/>
  <c r="L27" i="15"/>
  <c r="Q31" i="16" s="1"/>
  <c r="AM31" i="16" s="1"/>
  <c r="J27" i="15"/>
  <c r="N31" i="16" s="1"/>
  <c r="AJ31" i="16" s="1"/>
  <c r="I20" i="15"/>
  <c r="M24" i="16" s="1"/>
  <c r="M20" i="15"/>
  <c r="S24" i="16" s="1"/>
  <c r="L9" i="15"/>
  <c r="E24" i="15" s="1"/>
  <c r="G28" i="16" s="1"/>
  <c r="C26" i="15"/>
  <c r="D30" i="16" s="1"/>
  <c r="C22" i="15"/>
  <c r="D26" i="16" s="1"/>
  <c r="F20" i="15"/>
  <c r="H24" i="16" s="1"/>
  <c r="G26" i="15"/>
  <c r="J30" i="16" s="1"/>
  <c r="G22" i="15"/>
  <c r="J26" i="16" s="1"/>
  <c r="I22" i="15"/>
  <c r="M26" i="16" s="1"/>
  <c r="I26" i="15"/>
  <c r="M30" i="16" s="1"/>
  <c r="J20" i="15"/>
  <c r="N24" i="16" s="1"/>
  <c r="N20" i="15"/>
  <c r="T24" i="16" s="1"/>
  <c r="L26" i="15"/>
  <c r="Q30" i="16" s="1"/>
  <c r="AM30" i="16" s="1"/>
  <c r="L22" i="15"/>
  <c r="Q26" i="16" s="1"/>
  <c r="AM26" i="16" s="1"/>
  <c r="J26" i="15"/>
  <c r="N30" i="16" s="1"/>
  <c r="AJ30" i="16" s="1"/>
  <c r="J22" i="15"/>
  <c r="N26" i="16" s="1"/>
  <c r="AJ26" i="16" s="1"/>
  <c r="C20" i="15"/>
  <c r="D24" i="16" s="1"/>
  <c r="D26" i="15"/>
  <c r="E30" i="16" s="1"/>
  <c r="AA30" i="16" s="1"/>
  <c r="D22" i="15"/>
  <c r="E26" i="16" s="1"/>
  <c r="AA26" i="16" s="1"/>
  <c r="G20" i="15"/>
  <c r="J24" i="16" s="1"/>
  <c r="K26" i="15"/>
  <c r="P30" i="16" s="1"/>
  <c r="K22" i="15"/>
  <c r="P26" i="16" s="1"/>
  <c r="L20" i="15"/>
  <c r="Q24" i="16" s="1"/>
  <c r="C28" i="15"/>
  <c r="D32" i="16" s="1"/>
  <c r="C24" i="15"/>
  <c r="D28" i="16" s="1"/>
  <c r="D20" i="15"/>
  <c r="E24" i="16" s="1"/>
  <c r="D25" i="15"/>
  <c r="E29" i="16" s="1"/>
  <c r="AA29" i="16" s="1"/>
  <c r="D21" i="15"/>
  <c r="E25" i="16" s="1"/>
  <c r="AA25" i="16" s="1"/>
  <c r="E26" i="15"/>
  <c r="G30" i="16" s="1"/>
  <c r="E22" i="15"/>
  <c r="G26" i="16" s="1"/>
  <c r="F27" i="15"/>
  <c r="H31" i="16" s="1"/>
  <c r="AD31" i="16" s="1"/>
  <c r="F23" i="15"/>
  <c r="H27" i="16" s="1"/>
  <c r="AD27" i="16" s="1"/>
  <c r="G27" i="15"/>
  <c r="J31" i="16" s="1"/>
  <c r="G23" i="15"/>
  <c r="J27" i="16" s="1"/>
  <c r="K20" i="15"/>
  <c r="P24" i="16" s="1"/>
  <c r="K25" i="15"/>
  <c r="P29" i="16" s="1"/>
  <c r="K21" i="15"/>
  <c r="P25" i="16" s="1"/>
  <c r="B48" i="2"/>
  <c r="F48" i="2" s="1"/>
  <c r="B52" i="2"/>
  <c r="F52" i="2" s="1"/>
  <c r="B50" i="16"/>
  <c r="B4" i="22" s="1"/>
  <c r="X16" i="16"/>
  <c r="E12" i="14"/>
  <c r="I5" i="14"/>
  <c r="D41" i="14" s="1"/>
  <c r="J41" i="14" s="1"/>
  <c r="P9" i="16" s="1"/>
  <c r="H5" i="14"/>
  <c r="J6" i="14"/>
  <c r="I6" i="14"/>
  <c r="D42" i="14" s="1"/>
  <c r="J42" i="14" s="1"/>
  <c r="P10" i="16" s="1"/>
  <c r="I9" i="14"/>
  <c r="D45" i="14" s="1"/>
  <c r="J45" i="14" s="1"/>
  <c r="P13" i="16" s="1"/>
  <c r="H9" i="14"/>
  <c r="J10" i="14"/>
  <c r="I10" i="14"/>
  <c r="D46" i="14" s="1"/>
  <c r="J46" i="14" s="1"/>
  <c r="P14" i="16" s="1"/>
  <c r="D53" i="14"/>
  <c r="J53" i="14" s="1"/>
  <c r="S7" i="16" s="1"/>
  <c r="D29" i="14"/>
  <c r="J29" i="14" s="1"/>
  <c r="M11" i="16" s="1"/>
  <c r="D57" i="14"/>
  <c r="J57" i="14" s="1"/>
  <c r="S11" i="16" s="1"/>
  <c r="D33" i="14"/>
  <c r="J33" i="14" s="1"/>
  <c r="M15" i="16" s="1"/>
  <c r="D61" i="14"/>
  <c r="J61" i="14" s="1"/>
  <c r="S15" i="16" s="1"/>
  <c r="E26" i="14"/>
  <c r="K26" i="14" s="1"/>
  <c r="N8" i="16" s="1"/>
  <c r="E40" i="14"/>
  <c r="J5" i="14"/>
  <c r="H6" i="14"/>
  <c r="E43" i="14"/>
  <c r="K43" i="14" s="1"/>
  <c r="Q11" i="16" s="1"/>
  <c r="E57" i="14"/>
  <c r="K57" i="14" s="1"/>
  <c r="T11" i="16" s="1"/>
  <c r="E30" i="14"/>
  <c r="K30" i="14" s="1"/>
  <c r="N12" i="16" s="1"/>
  <c r="E44" i="14"/>
  <c r="K44" i="14" s="1"/>
  <c r="Q12" i="16" s="1"/>
  <c r="J9" i="14"/>
  <c r="E45" i="14" s="1"/>
  <c r="H10" i="14"/>
  <c r="E47" i="14"/>
  <c r="K47" i="14" s="1"/>
  <c r="Q15" i="16" s="1"/>
  <c r="E61" i="14"/>
  <c r="K61" i="14" s="1"/>
  <c r="T15" i="16" s="1"/>
  <c r="E29" i="14"/>
  <c r="K29" i="14" s="1"/>
  <c r="N11" i="16" s="1"/>
  <c r="E33" i="14"/>
  <c r="K33" i="14" s="1"/>
  <c r="N15" i="16" s="1"/>
  <c r="E54" i="14"/>
  <c r="E53" i="14"/>
  <c r="K53" i="14" s="1"/>
  <c r="T7" i="16" s="1"/>
  <c r="J11" i="13"/>
  <c r="J9" i="13"/>
  <c r="I11" i="13"/>
  <c r="D47" i="13" s="1"/>
  <c r="J47" i="13" s="1"/>
  <c r="G15" i="16" s="1"/>
  <c r="I9" i="13"/>
  <c r="D45" i="13" s="1"/>
  <c r="J45" i="13" s="1"/>
  <c r="G13" i="16" s="1"/>
  <c r="I7" i="13"/>
  <c r="D43" i="13" s="1"/>
  <c r="J43" i="13" s="1"/>
  <c r="G11" i="16" s="1"/>
  <c r="I5" i="13"/>
  <c r="D41" i="13" s="1"/>
  <c r="J41" i="13" s="1"/>
  <c r="G9" i="16" s="1"/>
  <c r="J7" i="13"/>
  <c r="J5" i="13"/>
  <c r="I3" i="13"/>
  <c r="J10" i="13"/>
  <c r="J8" i="13"/>
  <c r="J6" i="13"/>
  <c r="J4" i="13"/>
  <c r="J3" i="13"/>
  <c r="I10" i="13"/>
  <c r="D46" i="13" s="1"/>
  <c r="J46" i="13" s="1"/>
  <c r="G14" i="16" s="1"/>
  <c r="I8" i="13"/>
  <c r="D44" i="13" s="1"/>
  <c r="J44" i="13" s="1"/>
  <c r="G12" i="16" s="1"/>
  <c r="I6" i="13"/>
  <c r="D42" i="13" s="1"/>
  <c r="J42" i="13" s="1"/>
  <c r="G10" i="16" s="1"/>
  <c r="I4" i="13"/>
  <c r="D40" i="13" s="1"/>
  <c r="J40" i="13" s="1"/>
  <c r="G8" i="16" s="1"/>
  <c r="E12" i="13"/>
  <c r="H12" i="13"/>
  <c r="H9" i="12"/>
  <c r="K9" i="12" s="1"/>
  <c r="H5" i="12"/>
  <c r="K5" i="12" s="1"/>
  <c r="I11" i="12"/>
  <c r="R11" i="12" s="1"/>
  <c r="H6" i="12"/>
  <c r="K6" i="12" s="1"/>
  <c r="O6" i="12"/>
  <c r="K10" i="12"/>
  <c r="P10" i="12"/>
  <c r="G13" i="12"/>
  <c r="H4" i="12"/>
  <c r="J7" i="12"/>
  <c r="O4" i="12"/>
  <c r="P9" i="12"/>
  <c r="I4" i="12"/>
  <c r="O11" i="12"/>
  <c r="O9" i="12"/>
  <c r="O5" i="12"/>
  <c r="R7" i="12"/>
  <c r="S13" i="12"/>
  <c r="P12" i="12"/>
  <c r="P8" i="12"/>
  <c r="Q13" i="12"/>
  <c r="N13" i="12"/>
  <c r="I8" i="12"/>
  <c r="H11" i="12"/>
  <c r="H7" i="12"/>
  <c r="I12" i="12"/>
  <c r="I10" i="12"/>
  <c r="I6" i="12"/>
  <c r="J9" i="12"/>
  <c r="J5" i="12"/>
  <c r="I9" i="12"/>
  <c r="I5" i="12"/>
  <c r="J12" i="12"/>
  <c r="J10" i="12"/>
  <c r="J8" i="12"/>
  <c r="J6" i="12"/>
  <c r="B50" i="2"/>
  <c r="F50" i="2" s="1"/>
  <c r="B44" i="2"/>
  <c r="F44" i="2" s="1"/>
  <c r="L13" i="2"/>
  <c r="B33" i="2" s="1"/>
  <c r="B45" i="2"/>
  <c r="F45" i="2" s="1"/>
  <c r="B47" i="2"/>
  <c r="F47" i="2" s="1"/>
  <c r="B46" i="2"/>
  <c r="F46" i="2" s="1"/>
  <c r="B49" i="2"/>
  <c r="F49" i="2" s="1"/>
  <c r="B51" i="2"/>
  <c r="F51" i="2" s="1"/>
  <c r="L14" i="12" l="1"/>
  <c r="J12" i="14"/>
  <c r="Q14" i="12"/>
  <c r="P5" i="12"/>
  <c r="M11" i="12"/>
  <c r="D39" i="14"/>
  <c r="J39" i="14" s="1"/>
  <c r="P7" i="16" s="1"/>
  <c r="X50" i="16"/>
  <c r="I4" i="22" s="1"/>
  <c r="K28" i="15"/>
  <c r="P32" i="16" s="1"/>
  <c r="AL32" i="16" s="1"/>
  <c r="T46" i="16"/>
  <c r="AP46" i="16" s="1"/>
  <c r="AF31" i="16"/>
  <c r="L31" i="16"/>
  <c r="AH31" i="16" s="1"/>
  <c r="AL30" i="16"/>
  <c r="R30" i="16"/>
  <c r="AN30" i="16" s="1"/>
  <c r="AI26" i="16"/>
  <c r="O26" i="16"/>
  <c r="AK26" i="16" s="1"/>
  <c r="AG29" i="16"/>
  <c r="L29" i="16"/>
  <c r="AH29" i="16" s="1"/>
  <c r="Z25" i="16"/>
  <c r="F25" i="16"/>
  <c r="AB25" i="16" s="1"/>
  <c r="AC27" i="16"/>
  <c r="I27" i="16"/>
  <c r="AE27" i="16" s="1"/>
  <c r="AI25" i="16"/>
  <c r="O25" i="16"/>
  <c r="AK25" i="16" s="1"/>
  <c r="AL29" i="16"/>
  <c r="R29" i="16"/>
  <c r="AN29" i="16" s="1"/>
  <c r="Z32" i="16"/>
  <c r="AF24" i="16"/>
  <c r="L24" i="16"/>
  <c r="AP24" i="16"/>
  <c r="AF26" i="16"/>
  <c r="L26" i="16"/>
  <c r="AH26" i="16" s="1"/>
  <c r="Z30" i="16"/>
  <c r="F30" i="16"/>
  <c r="AB30" i="16" s="1"/>
  <c r="AI24" i="16"/>
  <c r="M33" i="16"/>
  <c r="AI33" i="16" s="1"/>
  <c r="O24" i="16"/>
  <c r="AO31" i="16"/>
  <c r="U31" i="16"/>
  <c r="AQ31" i="16" s="1"/>
  <c r="AI27" i="16"/>
  <c r="O27" i="16"/>
  <c r="AK27" i="16" s="1"/>
  <c r="AP26" i="16"/>
  <c r="U26" i="16"/>
  <c r="AQ26" i="16" s="1"/>
  <c r="AG25" i="16"/>
  <c r="L25" i="16"/>
  <c r="AH25" i="16" s="1"/>
  <c r="AC24" i="16"/>
  <c r="I24" i="16"/>
  <c r="AC30" i="16"/>
  <c r="I30" i="16"/>
  <c r="AE30" i="16" s="1"/>
  <c r="AC25" i="16"/>
  <c r="I25" i="16"/>
  <c r="AE25" i="16" s="1"/>
  <c r="AM24" i="16"/>
  <c r="AJ24" i="16"/>
  <c r="AF30" i="16"/>
  <c r="L30" i="16"/>
  <c r="AH30" i="16" s="1"/>
  <c r="AC28" i="16"/>
  <c r="AI29" i="16"/>
  <c r="O29" i="16"/>
  <c r="AK29" i="16" s="1"/>
  <c r="AC31" i="16"/>
  <c r="I31" i="16"/>
  <c r="AE31" i="16" s="1"/>
  <c r="Z29" i="16"/>
  <c r="F29" i="16"/>
  <c r="AB29" i="16" s="1"/>
  <c r="AO27" i="16"/>
  <c r="U27" i="16"/>
  <c r="AQ27" i="16" s="1"/>
  <c r="AO29" i="16"/>
  <c r="U29" i="16"/>
  <c r="AQ29" i="16" s="1"/>
  <c r="AI31" i="16"/>
  <c r="O31" i="16"/>
  <c r="AK31" i="16" s="1"/>
  <c r="AJ32" i="16"/>
  <c r="O32" i="16"/>
  <c r="AK32" i="16" s="1"/>
  <c r="AC29" i="16"/>
  <c r="I29" i="16"/>
  <c r="AE29" i="16" s="1"/>
  <c r="AG24" i="16"/>
  <c r="Q41" i="16"/>
  <c r="AM41" i="16" s="1"/>
  <c r="AL25" i="16"/>
  <c r="R25" i="16"/>
  <c r="AN25" i="16" s="1"/>
  <c r="Z28" i="16"/>
  <c r="Z24" i="16"/>
  <c r="D33" i="16"/>
  <c r="Z33" i="16" s="1"/>
  <c r="F24" i="16"/>
  <c r="Z26" i="16"/>
  <c r="F26" i="16"/>
  <c r="AB26" i="16" s="1"/>
  <c r="AP30" i="16"/>
  <c r="U30" i="16"/>
  <c r="AQ30" i="16" s="1"/>
  <c r="AL27" i="16"/>
  <c r="R27" i="16"/>
  <c r="AN27" i="16" s="1"/>
  <c r="AL24" i="16"/>
  <c r="R24" i="16"/>
  <c r="AF27" i="16"/>
  <c r="L27" i="16"/>
  <c r="AH27" i="16" s="1"/>
  <c r="AC26" i="16"/>
  <c r="I26" i="16"/>
  <c r="AE26" i="16" s="1"/>
  <c r="AA24" i="16"/>
  <c r="AL26" i="16"/>
  <c r="R26" i="16"/>
  <c r="AN26" i="16" s="1"/>
  <c r="AI30" i="16"/>
  <c r="O30" i="16"/>
  <c r="AK30" i="16" s="1"/>
  <c r="AD24" i="16"/>
  <c r="AO24" i="16"/>
  <c r="U24" i="16"/>
  <c r="Z27" i="16"/>
  <c r="F27" i="16"/>
  <c r="AB27" i="16" s="1"/>
  <c r="AO25" i="16"/>
  <c r="U25" i="16"/>
  <c r="AQ25" i="16" s="1"/>
  <c r="AL31" i="16"/>
  <c r="R31" i="16"/>
  <c r="AN31" i="16" s="1"/>
  <c r="Z31" i="16"/>
  <c r="F31" i="16"/>
  <c r="AB31" i="16" s="1"/>
  <c r="AP7" i="16"/>
  <c r="T41" i="16"/>
  <c r="AP41" i="16" s="1"/>
  <c r="AM12" i="16"/>
  <c r="Q46" i="16"/>
  <c r="AM46" i="16" s="1"/>
  <c r="AO15" i="16"/>
  <c r="U15" i="16"/>
  <c r="AO7" i="16"/>
  <c r="U7" i="16"/>
  <c r="S41" i="16"/>
  <c r="AO41" i="16" s="1"/>
  <c r="AL14" i="16"/>
  <c r="P48" i="16"/>
  <c r="AL48" i="16" s="1"/>
  <c r="AL9" i="16"/>
  <c r="P43" i="16"/>
  <c r="AL43" i="16" s="1"/>
  <c r="AJ7" i="16"/>
  <c r="N41" i="16"/>
  <c r="AJ41" i="16" s="1"/>
  <c r="AL7" i="16"/>
  <c r="P41" i="16"/>
  <c r="AL41" i="16" s="1"/>
  <c r="R7" i="16"/>
  <c r="K54" i="14"/>
  <c r="T8" i="16" s="1"/>
  <c r="AM15" i="16"/>
  <c r="AJ12" i="16"/>
  <c r="N46" i="16"/>
  <c r="AJ46" i="16" s="1"/>
  <c r="AI15" i="16"/>
  <c r="O15" i="16"/>
  <c r="M49" i="16"/>
  <c r="AI49" i="16" s="1"/>
  <c r="AI7" i="16"/>
  <c r="O7" i="16"/>
  <c r="M41" i="16"/>
  <c r="AI41" i="16" s="1"/>
  <c r="AL10" i="16"/>
  <c r="P44" i="16"/>
  <c r="AL44" i="16" s="1"/>
  <c r="D58" i="14"/>
  <c r="D44" i="14"/>
  <c r="J44" i="14" s="1"/>
  <c r="P12" i="16" s="1"/>
  <c r="AL15" i="16"/>
  <c r="R15" i="16"/>
  <c r="AJ15" i="16"/>
  <c r="N49" i="16"/>
  <c r="AJ49" i="16" s="1"/>
  <c r="AP11" i="16"/>
  <c r="K40" i="14"/>
  <c r="Q8" i="16" s="1"/>
  <c r="AO11" i="16"/>
  <c r="U11" i="16"/>
  <c r="D30" i="14"/>
  <c r="J30" i="14" s="1"/>
  <c r="M12" i="16" s="1"/>
  <c r="D54" i="14"/>
  <c r="J54" i="14" s="1"/>
  <c r="S8" i="16" s="1"/>
  <c r="D40" i="14"/>
  <c r="J40" i="14" s="1"/>
  <c r="P8" i="16" s="1"/>
  <c r="P16" i="16" s="1"/>
  <c r="AL11" i="16"/>
  <c r="R11" i="16"/>
  <c r="AP15" i="16"/>
  <c r="AJ11" i="16"/>
  <c r="AM11" i="16"/>
  <c r="AJ8" i="16"/>
  <c r="N42" i="16"/>
  <c r="AJ42" i="16" s="1"/>
  <c r="AI11" i="16"/>
  <c r="M45" i="16"/>
  <c r="AI45" i="16" s="1"/>
  <c r="O11" i="16"/>
  <c r="D26" i="14"/>
  <c r="J26" i="14" s="1"/>
  <c r="M8" i="16" s="1"/>
  <c r="AL13" i="16"/>
  <c r="P47" i="16"/>
  <c r="AL47" i="16" s="1"/>
  <c r="I12" i="14"/>
  <c r="AC10" i="16"/>
  <c r="G44" i="16"/>
  <c r="AC44" i="16" s="1"/>
  <c r="E54" i="13"/>
  <c r="K54" i="13" s="1"/>
  <c r="K8" i="16" s="1"/>
  <c r="E40" i="13"/>
  <c r="K40" i="13" s="1"/>
  <c r="H8" i="16" s="1"/>
  <c r="I8" i="16" s="1"/>
  <c r="E26" i="13"/>
  <c r="K26" i="13" s="1"/>
  <c r="E8" i="16" s="1"/>
  <c r="D25" i="13"/>
  <c r="J25" i="13" s="1"/>
  <c r="I12" i="13"/>
  <c r="D39" i="13"/>
  <c r="J39" i="13" s="1"/>
  <c r="E47" i="13"/>
  <c r="K47" i="13" s="1"/>
  <c r="H15" i="16" s="1"/>
  <c r="I15" i="16" s="1"/>
  <c r="E33" i="13"/>
  <c r="K33" i="13" s="1"/>
  <c r="E15" i="16" s="1"/>
  <c r="E61" i="13"/>
  <c r="K61" i="13" s="1"/>
  <c r="K15" i="16" s="1"/>
  <c r="AC12" i="16"/>
  <c r="G46" i="16"/>
  <c r="AC46" i="16" s="1"/>
  <c r="E28" i="13"/>
  <c r="K28" i="13" s="1"/>
  <c r="E10" i="16" s="1"/>
  <c r="E56" i="13"/>
  <c r="K56" i="13" s="1"/>
  <c r="K10" i="16" s="1"/>
  <c r="E42" i="13"/>
  <c r="K42" i="13" s="1"/>
  <c r="H10" i="16" s="1"/>
  <c r="I10" i="16" s="1"/>
  <c r="E55" i="13"/>
  <c r="K55" i="13" s="1"/>
  <c r="K9" i="16" s="1"/>
  <c r="E27" i="13"/>
  <c r="K27" i="13" s="1"/>
  <c r="E9" i="16" s="1"/>
  <c r="E41" i="13"/>
  <c r="K41" i="13" s="1"/>
  <c r="H9" i="16" s="1"/>
  <c r="AC14" i="16"/>
  <c r="G48" i="16"/>
  <c r="AC48" i="16" s="1"/>
  <c r="E44" i="13"/>
  <c r="K44" i="13" s="1"/>
  <c r="H12" i="16" s="1"/>
  <c r="I12" i="16" s="1"/>
  <c r="E30" i="13"/>
  <c r="K30" i="13" s="1"/>
  <c r="E12" i="16" s="1"/>
  <c r="E58" i="13"/>
  <c r="K58" i="13" s="1"/>
  <c r="K12" i="16" s="1"/>
  <c r="E43" i="13"/>
  <c r="K43" i="13" s="1"/>
  <c r="H11" i="16" s="1"/>
  <c r="I11" i="16" s="1"/>
  <c r="E29" i="13"/>
  <c r="K29" i="13" s="1"/>
  <c r="E11" i="16" s="1"/>
  <c r="E57" i="13"/>
  <c r="K57" i="13" s="1"/>
  <c r="K11" i="16" s="1"/>
  <c r="AC15" i="16"/>
  <c r="AC11" i="16"/>
  <c r="G45" i="16"/>
  <c r="AC45" i="16" s="1"/>
  <c r="AC13" i="16"/>
  <c r="G47" i="16"/>
  <c r="AC47" i="16" s="1"/>
  <c r="AC8" i="16"/>
  <c r="G42" i="16"/>
  <c r="AC42" i="16" s="1"/>
  <c r="J12" i="13"/>
  <c r="E39" i="13"/>
  <c r="E53" i="13"/>
  <c r="E25" i="13"/>
  <c r="E60" i="13"/>
  <c r="K60" i="13" s="1"/>
  <c r="K14" i="16" s="1"/>
  <c r="E46" i="13"/>
  <c r="K46" i="13" s="1"/>
  <c r="H14" i="16" s="1"/>
  <c r="E32" i="13"/>
  <c r="K32" i="13" s="1"/>
  <c r="E14" i="16" s="1"/>
  <c r="AC9" i="16"/>
  <c r="G43" i="16"/>
  <c r="AC43" i="16" s="1"/>
  <c r="I9" i="16"/>
  <c r="E59" i="13"/>
  <c r="K59" i="13" s="1"/>
  <c r="K13" i="16" s="1"/>
  <c r="E45" i="13"/>
  <c r="K45" i="13" s="1"/>
  <c r="H13" i="16" s="1"/>
  <c r="I13" i="16" s="1"/>
  <c r="E31" i="13"/>
  <c r="K31" i="13" s="1"/>
  <c r="E13" i="16" s="1"/>
  <c r="D28" i="15"/>
  <c r="E32" i="16" s="1"/>
  <c r="AA32" i="16" s="1"/>
  <c r="G28" i="15"/>
  <c r="J32" i="16" s="1"/>
  <c r="L28" i="15"/>
  <c r="Q32" i="16" s="1"/>
  <c r="AM32" i="16" s="1"/>
  <c r="N28" i="15"/>
  <c r="T32" i="16" s="1"/>
  <c r="AP32" i="16" s="1"/>
  <c r="F28" i="15"/>
  <c r="H32" i="16" s="1"/>
  <c r="AD32" i="16" s="1"/>
  <c r="H28" i="15"/>
  <c r="K32" i="16" s="1"/>
  <c r="AG32" i="16" s="1"/>
  <c r="M28" i="15"/>
  <c r="S32" i="16" s="1"/>
  <c r="S49" i="16" s="1"/>
  <c r="AO49" i="16" s="1"/>
  <c r="E28" i="15"/>
  <c r="I29" i="15"/>
  <c r="C29" i="15"/>
  <c r="J24" i="15"/>
  <c r="L24" i="15"/>
  <c r="Q28" i="16" s="1"/>
  <c r="AM28" i="16" s="1"/>
  <c r="N24" i="15"/>
  <c r="T28" i="16" s="1"/>
  <c r="AP28" i="16" s="1"/>
  <c r="F24" i="15"/>
  <c r="H28" i="16" s="1"/>
  <c r="AD28" i="16" s="1"/>
  <c r="M24" i="15"/>
  <c r="G24" i="15"/>
  <c r="J28" i="16" s="1"/>
  <c r="K24" i="15"/>
  <c r="H24" i="15"/>
  <c r="D24" i="15"/>
  <c r="E28" i="16" s="1"/>
  <c r="AA28" i="16" s="1"/>
  <c r="D26" i="13"/>
  <c r="J26" i="13" s="1"/>
  <c r="D8" i="16" s="1"/>
  <c r="D54" i="13"/>
  <c r="J54" i="13" s="1"/>
  <c r="J8" i="16" s="1"/>
  <c r="D59" i="13"/>
  <c r="J59" i="13" s="1"/>
  <c r="J13" i="16" s="1"/>
  <c r="D31" i="13"/>
  <c r="J31" i="13" s="1"/>
  <c r="D13" i="16" s="1"/>
  <c r="D56" i="13"/>
  <c r="J56" i="13" s="1"/>
  <c r="J10" i="16" s="1"/>
  <c r="D28" i="13"/>
  <c r="J28" i="13" s="1"/>
  <c r="D10" i="16" s="1"/>
  <c r="D53" i="13"/>
  <c r="J53" i="13" s="1"/>
  <c r="D33" i="13"/>
  <c r="J33" i="13" s="1"/>
  <c r="D15" i="16" s="1"/>
  <c r="D61" i="13"/>
  <c r="J61" i="13" s="1"/>
  <c r="J15" i="16" s="1"/>
  <c r="D30" i="13"/>
  <c r="J30" i="13" s="1"/>
  <c r="D12" i="16" s="1"/>
  <c r="D58" i="13"/>
  <c r="J58" i="13" s="1"/>
  <c r="J12" i="16" s="1"/>
  <c r="D55" i="13"/>
  <c r="J55" i="13" s="1"/>
  <c r="J9" i="16" s="1"/>
  <c r="D27" i="13"/>
  <c r="J27" i="13" s="1"/>
  <c r="D9" i="16" s="1"/>
  <c r="D60" i="13"/>
  <c r="J60" i="13" s="1"/>
  <c r="J14" i="16" s="1"/>
  <c r="D32" i="13"/>
  <c r="J32" i="13" s="1"/>
  <c r="D14" i="16" s="1"/>
  <c r="D29" i="13"/>
  <c r="J29" i="13" s="1"/>
  <c r="D11" i="16" s="1"/>
  <c r="D57" i="13"/>
  <c r="J57" i="13" s="1"/>
  <c r="J11" i="16" s="1"/>
  <c r="H12" i="14"/>
  <c r="F61" i="14"/>
  <c r="G61" i="14" s="1"/>
  <c r="E32" i="14"/>
  <c r="K32" i="14" s="1"/>
  <c r="N14" i="16" s="1"/>
  <c r="E46" i="14"/>
  <c r="K46" i="14" s="1"/>
  <c r="Q14" i="16" s="1"/>
  <c r="E60" i="14"/>
  <c r="K60" i="14" s="1"/>
  <c r="T14" i="16" s="1"/>
  <c r="F47" i="14"/>
  <c r="G47" i="14" s="1"/>
  <c r="F29" i="14"/>
  <c r="G29" i="14" s="1"/>
  <c r="F53" i="14"/>
  <c r="G53" i="14" s="1"/>
  <c r="D56" i="14"/>
  <c r="J56" i="14" s="1"/>
  <c r="S10" i="16" s="1"/>
  <c r="D28" i="14"/>
  <c r="J28" i="14" s="1"/>
  <c r="M10" i="16" s="1"/>
  <c r="E41" i="14"/>
  <c r="K41" i="14" s="1"/>
  <c r="Q9" i="16" s="1"/>
  <c r="E55" i="14"/>
  <c r="K55" i="14" s="1"/>
  <c r="T9" i="16" s="1"/>
  <c r="E27" i="14"/>
  <c r="K27" i="14" s="1"/>
  <c r="N9" i="16" s="1"/>
  <c r="F44" i="14"/>
  <c r="G44" i="14" s="1"/>
  <c r="D27" i="14"/>
  <c r="J27" i="14" s="1"/>
  <c r="M9" i="16" s="1"/>
  <c r="D55" i="14"/>
  <c r="J55" i="14" s="1"/>
  <c r="S9" i="16" s="1"/>
  <c r="K45" i="14"/>
  <c r="Q13" i="16" s="1"/>
  <c r="R13" i="16" s="1"/>
  <c r="E59" i="14"/>
  <c r="K59" i="14" s="1"/>
  <c r="T13" i="16" s="1"/>
  <c r="E31" i="14"/>
  <c r="K31" i="14" s="1"/>
  <c r="N13" i="16" s="1"/>
  <c r="F33" i="14"/>
  <c r="G33" i="14" s="1"/>
  <c r="F39" i="14"/>
  <c r="G39" i="14" s="1"/>
  <c r="F26" i="14"/>
  <c r="G26" i="14" s="1"/>
  <c r="D31" i="14"/>
  <c r="J31" i="14" s="1"/>
  <c r="M13" i="16" s="1"/>
  <c r="D59" i="14"/>
  <c r="J59" i="14" s="1"/>
  <c r="S13" i="16" s="1"/>
  <c r="E28" i="14"/>
  <c r="K28" i="14" s="1"/>
  <c r="N10" i="16" s="1"/>
  <c r="E42" i="14"/>
  <c r="E56" i="14"/>
  <c r="F43" i="14"/>
  <c r="G43" i="14" s="1"/>
  <c r="F57" i="14"/>
  <c r="G57" i="14" s="1"/>
  <c r="F25" i="14"/>
  <c r="G25" i="14" s="1"/>
  <c r="D60" i="14"/>
  <c r="J60" i="14" s="1"/>
  <c r="S14" i="16" s="1"/>
  <c r="D32" i="14"/>
  <c r="J32" i="14" s="1"/>
  <c r="M14" i="16" s="1"/>
  <c r="P6" i="12"/>
  <c r="J13" i="12"/>
  <c r="M9" i="12"/>
  <c r="R9" i="12"/>
  <c r="M8" i="12"/>
  <c r="R8" i="12"/>
  <c r="M12" i="12"/>
  <c r="R12" i="12"/>
  <c r="O13" i="12"/>
  <c r="M10" i="12"/>
  <c r="R10" i="12"/>
  <c r="M4" i="12"/>
  <c r="I13" i="12"/>
  <c r="R4" i="12"/>
  <c r="K7" i="12"/>
  <c r="P7" i="12"/>
  <c r="M5" i="12"/>
  <c r="R5" i="12"/>
  <c r="M6" i="12"/>
  <c r="R6" i="12"/>
  <c r="K11" i="12"/>
  <c r="P11" i="12"/>
  <c r="K4" i="12"/>
  <c r="P4" i="12"/>
  <c r="H13" i="12"/>
  <c r="H47" i="2"/>
  <c r="H44" i="2"/>
  <c r="H45" i="2"/>
  <c r="H46" i="2"/>
  <c r="B53" i="2"/>
  <c r="F53" i="2" s="1"/>
  <c r="F40" i="14" l="1"/>
  <c r="G40" i="14" s="1"/>
  <c r="F54" i="14"/>
  <c r="G54" i="14" s="1"/>
  <c r="P49" i="16"/>
  <c r="AL49" i="16" s="1"/>
  <c r="P13" i="12"/>
  <c r="T45" i="16"/>
  <c r="AP45" i="16" s="1"/>
  <c r="E33" i="16"/>
  <c r="AA33" i="16" s="1"/>
  <c r="J33" i="16"/>
  <c r="AF33" i="16" s="1"/>
  <c r="I28" i="16"/>
  <c r="AE28" i="16" s="1"/>
  <c r="T33" i="16"/>
  <c r="AP33" i="16" s="1"/>
  <c r="AQ24" i="16"/>
  <c r="AO32" i="16"/>
  <c r="U32" i="16"/>
  <c r="AQ32" i="16" s="1"/>
  <c r="H29" i="15"/>
  <c r="K28" i="16"/>
  <c r="AF32" i="16"/>
  <c r="L32" i="16"/>
  <c r="AH32" i="16" s="1"/>
  <c r="H33" i="16"/>
  <c r="AD33" i="16" s="1"/>
  <c r="AN24" i="16"/>
  <c r="F28" i="16"/>
  <c r="AB28" i="16" s="1"/>
  <c r="AK24" i="16"/>
  <c r="F32" i="16"/>
  <c r="AB32" i="16" s="1"/>
  <c r="AF28" i="16"/>
  <c r="E29" i="15"/>
  <c r="G32" i="16"/>
  <c r="M29" i="15"/>
  <c r="S28" i="16"/>
  <c r="J29" i="15"/>
  <c r="I30" i="15" s="1"/>
  <c r="N28" i="16"/>
  <c r="K29" i="15"/>
  <c r="P28" i="16"/>
  <c r="Q45" i="16"/>
  <c r="AM45" i="16" s="1"/>
  <c r="T49" i="16"/>
  <c r="AP49" i="16" s="1"/>
  <c r="Q49" i="16"/>
  <c r="AM49" i="16" s="1"/>
  <c r="AB24" i="16"/>
  <c r="Q33" i="16"/>
  <c r="AM33" i="16" s="1"/>
  <c r="R32" i="16"/>
  <c r="AN32" i="16" s="1"/>
  <c r="AE24" i="16"/>
  <c r="AH24" i="16"/>
  <c r="F25" i="13"/>
  <c r="G25" i="13" s="1"/>
  <c r="E62" i="14"/>
  <c r="K56" i="14"/>
  <c r="T10" i="16" s="1"/>
  <c r="AI13" i="16"/>
  <c r="M47" i="16"/>
  <c r="AI47" i="16" s="1"/>
  <c r="O13" i="16"/>
  <c r="AJ13" i="16"/>
  <c r="N47" i="16"/>
  <c r="AJ47" i="16" s="1"/>
  <c r="AI9" i="16"/>
  <c r="M43" i="16"/>
  <c r="AI43" i="16" s="1"/>
  <c r="O9" i="16"/>
  <c r="AM9" i="16"/>
  <c r="Q43" i="16"/>
  <c r="AM43" i="16" s="1"/>
  <c r="AM14" i="16"/>
  <c r="Q48" i="16"/>
  <c r="AM48" i="16" s="1"/>
  <c r="AK11" i="16"/>
  <c r="AI12" i="16"/>
  <c r="M46" i="16"/>
  <c r="AI46" i="16" s="1"/>
  <c r="O12" i="16"/>
  <c r="AM8" i="16"/>
  <c r="Q42" i="16"/>
  <c r="AM42" i="16" s="1"/>
  <c r="O41" i="16"/>
  <c r="AK41" i="16" s="1"/>
  <c r="AK7" i="16"/>
  <c r="AL16" i="16"/>
  <c r="AI14" i="16"/>
  <c r="M48" i="16"/>
  <c r="AI48" i="16" s="1"/>
  <c r="O14" i="16"/>
  <c r="E48" i="14"/>
  <c r="K42" i="14"/>
  <c r="Q10" i="16" s="1"/>
  <c r="Q16" i="16" s="1"/>
  <c r="AP13" i="16"/>
  <c r="T47" i="16"/>
  <c r="AP47" i="16" s="1"/>
  <c r="AI10" i="16"/>
  <c r="M44" i="16"/>
  <c r="AI44" i="16" s="1"/>
  <c r="O10" i="16"/>
  <c r="AJ14" i="16"/>
  <c r="N48" i="16"/>
  <c r="AJ48" i="16" s="1"/>
  <c r="R47" i="16"/>
  <c r="AN47" i="16" s="1"/>
  <c r="AN13" i="16"/>
  <c r="AL12" i="16"/>
  <c r="P46" i="16"/>
  <c r="AL46" i="16" s="1"/>
  <c r="R12" i="16"/>
  <c r="AP8" i="16"/>
  <c r="T42" i="16"/>
  <c r="AP42" i="16" s="1"/>
  <c r="R14" i="16"/>
  <c r="AQ15" i="16"/>
  <c r="T16" i="16"/>
  <c r="AO14" i="16"/>
  <c r="S48" i="16"/>
  <c r="AO48" i="16" s="1"/>
  <c r="U14" i="16"/>
  <c r="AJ10" i="16"/>
  <c r="N44" i="16"/>
  <c r="AJ44" i="16" s="1"/>
  <c r="AM13" i="16"/>
  <c r="Q47" i="16"/>
  <c r="AM47" i="16" s="1"/>
  <c r="AJ9" i="16"/>
  <c r="N43" i="16"/>
  <c r="AJ43" i="16" s="1"/>
  <c r="AO10" i="16"/>
  <c r="S44" i="16"/>
  <c r="AO44" i="16" s="1"/>
  <c r="U10" i="16"/>
  <c r="AQ7" i="16"/>
  <c r="U41" i="16"/>
  <c r="AQ41" i="16" s="1"/>
  <c r="AL8" i="16"/>
  <c r="P42" i="16"/>
  <c r="AL42" i="16" s="1"/>
  <c r="R8" i="16"/>
  <c r="AQ11" i="16"/>
  <c r="AN15" i="16"/>
  <c r="J58" i="14"/>
  <c r="S12" i="16" s="1"/>
  <c r="F58" i="14"/>
  <c r="G58" i="14" s="1"/>
  <c r="M16" i="16"/>
  <c r="AO13" i="16"/>
  <c r="S47" i="16"/>
  <c r="AO47" i="16" s="1"/>
  <c r="U13" i="16"/>
  <c r="AO9" i="16"/>
  <c r="S43" i="16"/>
  <c r="AO43" i="16" s="1"/>
  <c r="U9" i="16"/>
  <c r="AP9" i="16"/>
  <c r="T43" i="16"/>
  <c r="AP43" i="16" s="1"/>
  <c r="F30" i="14"/>
  <c r="G30" i="14" s="1"/>
  <c r="H30" i="14" s="1"/>
  <c r="AP14" i="16"/>
  <c r="T48" i="16"/>
  <c r="AP48" i="16" s="1"/>
  <c r="AI8" i="16"/>
  <c r="M42" i="16"/>
  <c r="AI42" i="16" s="1"/>
  <c r="O8" i="16"/>
  <c r="AN11" i="16"/>
  <c r="AO8" i="16"/>
  <c r="U8" i="16"/>
  <c r="S42" i="16"/>
  <c r="AO42" i="16" s="1"/>
  <c r="O49" i="16"/>
  <c r="AK49" i="16" s="1"/>
  <c r="AK15" i="16"/>
  <c r="AN7" i="16"/>
  <c r="R41" i="16"/>
  <c r="AN41" i="16" s="1"/>
  <c r="N16" i="16"/>
  <c r="R9" i="16"/>
  <c r="AE11" i="16"/>
  <c r="Z14" i="16"/>
  <c r="D48" i="16"/>
  <c r="Z48" i="16" s="1"/>
  <c r="F14" i="16"/>
  <c r="J7" i="16"/>
  <c r="J62" i="13"/>
  <c r="AE9" i="16"/>
  <c r="I43" i="16"/>
  <c r="AE43" i="16" s="1"/>
  <c r="K39" i="13"/>
  <c r="E48" i="13"/>
  <c r="AA9" i="16"/>
  <c r="E43" i="16"/>
  <c r="AA43" i="16" s="1"/>
  <c r="AG15" i="16"/>
  <c r="K49" i="16"/>
  <c r="AG49" i="16" s="1"/>
  <c r="AF14" i="16"/>
  <c r="J48" i="16"/>
  <c r="AF48" i="16" s="1"/>
  <c r="L14" i="16"/>
  <c r="AF13" i="16"/>
  <c r="L13" i="16"/>
  <c r="J47" i="16"/>
  <c r="AF47" i="16" s="1"/>
  <c r="AG14" i="16"/>
  <c r="K48" i="16"/>
  <c r="AG48" i="16" s="1"/>
  <c r="AE13" i="16"/>
  <c r="I47" i="16"/>
  <c r="AE47" i="16" s="1"/>
  <c r="AG12" i="16"/>
  <c r="K46" i="16"/>
  <c r="AG46" i="16" s="1"/>
  <c r="D7" i="16"/>
  <c r="J34" i="13"/>
  <c r="AF11" i="16"/>
  <c r="L11" i="16"/>
  <c r="J45" i="16"/>
  <c r="AF45" i="16" s="1"/>
  <c r="Z9" i="16"/>
  <c r="F9" i="16"/>
  <c r="D43" i="16"/>
  <c r="Z43" i="16" s="1"/>
  <c r="AF15" i="16"/>
  <c r="J49" i="16"/>
  <c r="AF49" i="16" s="1"/>
  <c r="L15" i="16"/>
  <c r="Z10" i="16"/>
  <c r="D44" i="16"/>
  <c r="Z44" i="16" s="1"/>
  <c r="F10" i="16"/>
  <c r="AF8" i="16"/>
  <c r="J42" i="16"/>
  <c r="AF42" i="16" s="1"/>
  <c r="L8" i="16"/>
  <c r="AD13" i="16"/>
  <c r="H47" i="16"/>
  <c r="AD47" i="16" s="1"/>
  <c r="K25" i="13"/>
  <c r="E34" i="13"/>
  <c r="I42" i="16"/>
  <c r="AE42" i="16" s="1"/>
  <c r="AE8" i="16"/>
  <c r="AG11" i="16"/>
  <c r="K45" i="16"/>
  <c r="AG45" i="16" s="1"/>
  <c r="AA12" i="16"/>
  <c r="E46" i="16"/>
  <c r="AA46" i="16" s="1"/>
  <c r="AD10" i="16"/>
  <c r="H44" i="16"/>
  <c r="AD44" i="16" s="1"/>
  <c r="AD15" i="16"/>
  <c r="H49" i="16"/>
  <c r="AD49" i="16" s="1"/>
  <c r="AA8" i="16"/>
  <c r="E42" i="16"/>
  <c r="AA42" i="16" s="1"/>
  <c r="AF12" i="16"/>
  <c r="J46" i="16"/>
  <c r="AF46" i="16" s="1"/>
  <c r="L12" i="16"/>
  <c r="Z13" i="16"/>
  <c r="D47" i="16"/>
  <c r="Z47" i="16" s="1"/>
  <c r="F13" i="16"/>
  <c r="AD14" i="16"/>
  <c r="H48" i="16"/>
  <c r="AD48" i="16" s="1"/>
  <c r="AD11" i="16"/>
  <c r="H45" i="16"/>
  <c r="AD45" i="16" s="1"/>
  <c r="I14" i="16"/>
  <c r="AA10" i="16"/>
  <c r="E44" i="16"/>
  <c r="AA44" i="16" s="1"/>
  <c r="AG8" i="16"/>
  <c r="K42" i="16"/>
  <c r="AG42" i="16" s="1"/>
  <c r="Z12" i="16"/>
  <c r="F12" i="16"/>
  <c r="D46" i="16"/>
  <c r="Z46" i="16" s="1"/>
  <c r="AA13" i="16"/>
  <c r="E47" i="16"/>
  <c r="AA47" i="16" s="1"/>
  <c r="AG9" i="16"/>
  <c r="K43" i="16"/>
  <c r="AG43" i="16" s="1"/>
  <c r="I46" i="16"/>
  <c r="AE46" i="16" s="1"/>
  <c r="AE12" i="16"/>
  <c r="AA15" i="16"/>
  <c r="E49" i="16"/>
  <c r="AA49" i="16" s="1"/>
  <c r="AE10" i="16"/>
  <c r="I44" i="16"/>
  <c r="AE44" i="16" s="1"/>
  <c r="Z11" i="16"/>
  <c r="F11" i="16"/>
  <c r="D45" i="16"/>
  <c r="Z45" i="16" s="1"/>
  <c r="AF9" i="16"/>
  <c r="L9" i="16"/>
  <c r="J43" i="16"/>
  <c r="AF43" i="16" s="1"/>
  <c r="Z15" i="16"/>
  <c r="D49" i="16"/>
  <c r="Z49" i="16" s="1"/>
  <c r="F15" i="16"/>
  <c r="AF10" i="16"/>
  <c r="L10" i="16"/>
  <c r="J44" i="16"/>
  <c r="AF44" i="16" s="1"/>
  <c r="Z8" i="16"/>
  <c r="F8" i="16"/>
  <c r="D42" i="16"/>
  <c r="Z42" i="16" s="1"/>
  <c r="AG13" i="16"/>
  <c r="K47" i="16"/>
  <c r="AG47" i="16" s="1"/>
  <c r="AA14" i="16"/>
  <c r="E48" i="16"/>
  <c r="AA48" i="16" s="1"/>
  <c r="K53" i="13"/>
  <c r="E62" i="13"/>
  <c r="AE15" i="16"/>
  <c r="AA11" i="16"/>
  <c r="E45" i="16"/>
  <c r="AA45" i="16" s="1"/>
  <c r="AD12" i="16"/>
  <c r="H46" i="16"/>
  <c r="AD46" i="16" s="1"/>
  <c r="AD9" i="16"/>
  <c r="H43" i="16"/>
  <c r="AD43" i="16" s="1"/>
  <c r="AG10" i="16"/>
  <c r="K44" i="16"/>
  <c r="AG44" i="16" s="1"/>
  <c r="G7" i="16"/>
  <c r="J48" i="13"/>
  <c r="AD8" i="16"/>
  <c r="H42" i="16"/>
  <c r="AD42" i="16" s="1"/>
  <c r="G29" i="15"/>
  <c r="G30" i="15" s="1"/>
  <c r="N29" i="15"/>
  <c r="D29" i="15"/>
  <c r="C30" i="15" s="1"/>
  <c r="L29" i="15"/>
  <c r="F29" i="15"/>
  <c r="E30" i="15" s="1"/>
  <c r="F41" i="13"/>
  <c r="G41" i="13" s="1"/>
  <c r="F46" i="13"/>
  <c r="G46" i="13" s="1"/>
  <c r="F44" i="13"/>
  <c r="G44" i="13" s="1"/>
  <c r="D62" i="13"/>
  <c r="F53" i="13"/>
  <c r="G53" i="13" s="1"/>
  <c r="F42" i="13"/>
  <c r="G42" i="13" s="1"/>
  <c r="F59" i="13"/>
  <c r="G59" i="13" s="1"/>
  <c r="F57" i="13"/>
  <c r="G57" i="13" s="1"/>
  <c r="F32" i="13"/>
  <c r="G32" i="13" s="1"/>
  <c r="F55" i="13"/>
  <c r="G55" i="13" s="1"/>
  <c r="F61" i="13"/>
  <c r="G61" i="13" s="1"/>
  <c r="F56" i="13"/>
  <c r="G56" i="13" s="1"/>
  <c r="F54" i="13"/>
  <c r="G54" i="13" s="1"/>
  <c r="D34" i="13"/>
  <c r="F29" i="13"/>
  <c r="G29" i="13" s="1"/>
  <c r="F60" i="13"/>
  <c r="G60" i="13" s="1"/>
  <c r="F58" i="13"/>
  <c r="G58" i="13" s="1"/>
  <c r="F33" i="13"/>
  <c r="G33" i="13" s="1"/>
  <c r="F31" i="13"/>
  <c r="G31" i="13" s="1"/>
  <c r="F26" i="13"/>
  <c r="F43" i="13"/>
  <c r="G43" i="13" s="1"/>
  <c r="F27" i="13"/>
  <c r="G27" i="13" s="1"/>
  <c r="F30" i="13"/>
  <c r="G30" i="13" s="1"/>
  <c r="F47" i="13"/>
  <c r="G47" i="13" s="1"/>
  <c r="F28" i="13"/>
  <c r="G28" i="13" s="1"/>
  <c r="F45" i="13"/>
  <c r="G45" i="13" s="1"/>
  <c r="F40" i="13"/>
  <c r="G40" i="13" s="1"/>
  <c r="F32" i="14"/>
  <c r="G32" i="14" s="1"/>
  <c r="D34" i="14"/>
  <c r="I43" i="14"/>
  <c r="H43" i="14"/>
  <c r="F31" i="14"/>
  <c r="G31" i="14" s="1"/>
  <c r="F55" i="14"/>
  <c r="G55" i="14" s="1"/>
  <c r="I44" i="14"/>
  <c r="H44" i="14"/>
  <c r="F28" i="14"/>
  <c r="G28" i="14" s="1"/>
  <c r="H29" i="14"/>
  <c r="I29" i="14"/>
  <c r="F46" i="14"/>
  <c r="G46" i="14" s="1"/>
  <c r="I26" i="14"/>
  <c r="H26" i="14"/>
  <c r="F41" i="14"/>
  <c r="G41" i="14" s="1"/>
  <c r="F42" i="14"/>
  <c r="G42" i="14" s="1"/>
  <c r="F60" i="14"/>
  <c r="G60" i="14" s="1"/>
  <c r="F59" i="14"/>
  <c r="G59" i="14" s="1"/>
  <c r="F27" i="14"/>
  <c r="F56" i="14"/>
  <c r="G56" i="14" s="1"/>
  <c r="D62" i="14"/>
  <c r="I47" i="14"/>
  <c r="H47" i="14"/>
  <c r="I61" i="14"/>
  <c r="H61" i="14"/>
  <c r="I57" i="14"/>
  <c r="H57" i="14"/>
  <c r="E34" i="14"/>
  <c r="F45" i="14"/>
  <c r="D48" i="14"/>
  <c r="H33" i="14"/>
  <c r="I33" i="14"/>
  <c r="R13" i="12"/>
  <c r="M13" i="12"/>
  <c r="K13" i="12"/>
  <c r="K14" i="12" s="1"/>
  <c r="P14" i="12" l="1"/>
  <c r="I30" i="14"/>
  <c r="U49" i="16"/>
  <c r="AQ49" i="16" s="1"/>
  <c r="H54" i="14"/>
  <c r="I54" i="14"/>
  <c r="H40" i="14"/>
  <c r="I40" i="14"/>
  <c r="M30" i="15"/>
  <c r="K30" i="15"/>
  <c r="I45" i="16"/>
  <c r="AE45" i="16" s="1"/>
  <c r="F33" i="16"/>
  <c r="AB33" i="16" s="1"/>
  <c r="R49" i="16"/>
  <c r="AN49" i="16" s="1"/>
  <c r="AG28" i="16"/>
  <c r="K33" i="16"/>
  <c r="AG33" i="16" s="1"/>
  <c r="AL28" i="16"/>
  <c r="R28" i="16"/>
  <c r="P33" i="16"/>
  <c r="P45" i="16"/>
  <c r="AL45" i="16" s="1"/>
  <c r="L28" i="16"/>
  <c r="AO28" i="16"/>
  <c r="U28" i="16"/>
  <c r="S33" i="16"/>
  <c r="AO33" i="16" s="1"/>
  <c r="S45" i="16"/>
  <c r="AO45" i="16" s="1"/>
  <c r="AJ28" i="16"/>
  <c r="O28" i="16"/>
  <c r="N33" i="16"/>
  <c r="AJ33" i="16" s="1"/>
  <c r="N45" i="16"/>
  <c r="AJ45" i="16" s="1"/>
  <c r="AC32" i="16"/>
  <c r="I32" i="16"/>
  <c r="G49" i="16"/>
  <c r="AC49" i="16" s="1"/>
  <c r="G33" i="16"/>
  <c r="AC33" i="16" s="1"/>
  <c r="Q50" i="16"/>
  <c r="AM50" i="16" s="1"/>
  <c r="AM16" i="16"/>
  <c r="AJ16" i="16"/>
  <c r="M50" i="16"/>
  <c r="AI50" i="16" s="1"/>
  <c r="AI16" i="16"/>
  <c r="AK12" i="16"/>
  <c r="O46" i="16"/>
  <c r="AK46" i="16" s="1"/>
  <c r="U47" i="16"/>
  <c r="AQ47" i="16" s="1"/>
  <c r="AQ13" i="16"/>
  <c r="H58" i="14"/>
  <c r="I58" i="14"/>
  <c r="AQ10" i="16"/>
  <c r="U44" i="16"/>
  <c r="AQ44" i="16" s="1"/>
  <c r="T50" i="16"/>
  <c r="AP50" i="16" s="1"/>
  <c r="AP16" i="16"/>
  <c r="AK14" i="16"/>
  <c r="O48" i="16"/>
  <c r="AK48" i="16" s="1"/>
  <c r="O43" i="16"/>
  <c r="AK43" i="16" s="1"/>
  <c r="AK9" i="16"/>
  <c r="AP10" i="16"/>
  <c r="T44" i="16"/>
  <c r="AP44" i="16" s="1"/>
  <c r="R42" i="16"/>
  <c r="AN42" i="16" s="1"/>
  <c r="AN8" i="16"/>
  <c r="AN12" i="16"/>
  <c r="R46" i="16"/>
  <c r="AN46" i="16" s="1"/>
  <c r="AM10" i="16"/>
  <c r="Q44" i="16"/>
  <c r="AM44" i="16" s="1"/>
  <c r="R10" i="16"/>
  <c r="R16" i="16" s="1"/>
  <c r="R48" i="16"/>
  <c r="AN48" i="16" s="1"/>
  <c r="AN14" i="16"/>
  <c r="F34" i="14"/>
  <c r="G34" i="14" s="1"/>
  <c r="H34" i="14" s="1"/>
  <c r="G27" i="14"/>
  <c r="H27" i="14" s="1"/>
  <c r="R43" i="16"/>
  <c r="AN43" i="16" s="1"/>
  <c r="AN9" i="16"/>
  <c r="U42" i="16"/>
  <c r="AQ42" i="16" s="1"/>
  <c r="AQ8" i="16"/>
  <c r="O42" i="16"/>
  <c r="AK42" i="16" s="1"/>
  <c r="AK8" i="16"/>
  <c r="AQ9" i="16"/>
  <c r="U43" i="16"/>
  <c r="AQ43" i="16" s="1"/>
  <c r="AO12" i="16"/>
  <c r="U12" i="16"/>
  <c r="S46" i="16"/>
  <c r="AO46" i="16" s="1"/>
  <c r="S16" i="16"/>
  <c r="AQ14" i="16"/>
  <c r="U48" i="16"/>
  <c r="AQ48" i="16" s="1"/>
  <c r="AK10" i="16"/>
  <c r="O44" i="16"/>
  <c r="AK44" i="16" s="1"/>
  <c r="O16" i="16"/>
  <c r="AK13" i="16"/>
  <c r="O47" i="16"/>
  <c r="AK47" i="16" s="1"/>
  <c r="AH9" i="16"/>
  <c r="L43" i="16"/>
  <c r="AH43" i="16" s="1"/>
  <c r="K7" i="16"/>
  <c r="K62" i="13"/>
  <c r="AH8" i="16"/>
  <c r="L42" i="16"/>
  <c r="AH42" i="16" s="1"/>
  <c r="Z7" i="16"/>
  <c r="D16" i="16"/>
  <c r="D41" i="16"/>
  <c r="Z41" i="16" s="1"/>
  <c r="AH13" i="16"/>
  <c r="L47" i="16"/>
  <c r="AH47" i="16" s="1"/>
  <c r="F34" i="13"/>
  <c r="G26" i="13"/>
  <c r="I26" i="13" s="1"/>
  <c r="AH10" i="16"/>
  <c r="L44" i="16"/>
  <c r="AH44" i="16" s="1"/>
  <c r="AE14" i="16"/>
  <c r="I48" i="16"/>
  <c r="AE48" i="16" s="1"/>
  <c r="L46" i="16"/>
  <c r="AH46" i="16" s="1"/>
  <c r="AH12" i="16"/>
  <c r="E7" i="16"/>
  <c r="F7" i="16" s="1"/>
  <c r="K34" i="13"/>
  <c r="AH11" i="16"/>
  <c r="AB15" i="16"/>
  <c r="F49" i="16"/>
  <c r="AB49" i="16" s="1"/>
  <c r="AB12" i="16"/>
  <c r="F46" i="16"/>
  <c r="AB46" i="16" s="1"/>
  <c r="F44" i="16"/>
  <c r="AB44" i="16" s="1"/>
  <c r="AB10" i="16"/>
  <c r="F48" i="16"/>
  <c r="AB48" i="16" s="1"/>
  <c r="AB14" i="16"/>
  <c r="AC7" i="16"/>
  <c r="G16" i="16"/>
  <c r="G41" i="16"/>
  <c r="AC41" i="16" s="1"/>
  <c r="AB8" i="16"/>
  <c r="F42" i="16"/>
  <c r="AB42" i="16" s="1"/>
  <c r="AB11" i="16"/>
  <c r="F45" i="16"/>
  <c r="AB45" i="16" s="1"/>
  <c r="AB13" i="16"/>
  <c r="F47" i="16"/>
  <c r="AB47" i="16" s="1"/>
  <c r="L49" i="16"/>
  <c r="AH49" i="16" s="1"/>
  <c r="AH15" i="16"/>
  <c r="AB9" i="16"/>
  <c r="F43" i="16"/>
  <c r="AB43" i="16" s="1"/>
  <c r="AH14" i="16"/>
  <c r="L48" i="16"/>
  <c r="AH48" i="16" s="1"/>
  <c r="H7" i="16"/>
  <c r="I7" i="16" s="1"/>
  <c r="K48" i="13"/>
  <c r="AF7" i="16"/>
  <c r="J41" i="16"/>
  <c r="AF41" i="16" s="1"/>
  <c r="J16" i="16"/>
  <c r="F48" i="14"/>
  <c r="G48" i="14" s="1"/>
  <c r="H48" i="14" s="1"/>
  <c r="G45" i="14"/>
  <c r="I45" i="14" s="1"/>
  <c r="I40" i="13"/>
  <c r="H40" i="13"/>
  <c r="H30" i="13"/>
  <c r="I30" i="13"/>
  <c r="I43" i="13"/>
  <c r="H43" i="13"/>
  <c r="I58" i="13"/>
  <c r="H58" i="13"/>
  <c r="I59" i="13"/>
  <c r="H59" i="13"/>
  <c r="I45" i="13"/>
  <c r="H45" i="13"/>
  <c r="I56" i="13"/>
  <c r="H56" i="13"/>
  <c r="I47" i="13"/>
  <c r="H47" i="13"/>
  <c r="I33" i="13"/>
  <c r="H33" i="13"/>
  <c r="I60" i="13"/>
  <c r="H60" i="13"/>
  <c r="I55" i="13"/>
  <c r="H55" i="13"/>
  <c r="I29" i="13"/>
  <c r="H29" i="13"/>
  <c r="H32" i="13"/>
  <c r="I32" i="13"/>
  <c r="F62" i="13"/>
  <c r="H27" i="13"/>
  <c r="I27" i="13"/>
  <c r="I61" i="13"/>
  <c r="H61" i="13"/>
  <c r="I46" i="13"/>
  <c r="H46" i="13"/>
  <c r="H28" i="13"/>
  <c r="I28" i="13"/>
  <c r="H31" i="13"/>
  <c r="I31" i="13"/>
  <c r="I54" i="13"/>
  <c r="H54" i="13"/>
  <c r="H25" i="13"/>
  <c r="I25" i="13"/>
  <c r="I57" i="13"/>
  <c r="H57" i="13"/>
  <c r="I42" i="13"/>
  <c r="H42" i="13"/>
  <c r="I44" i="13"/>
  <c r="H44" i="13"/>
  <c r="I41" i="13"/>
  <c r="H41" i="13"/>
  <c r="F62" i="14"/>
  <c r="G62" i="14" s="1"/>
  <c r="H62" i="14" s="1"/>
  <c r="I42" i="14"/>
  <c r="H42" i="14"/>
  <c r="H25" i="14"/>
  <c r="I25" i="14"/>
  <c r="I59" i="14"/>
  <c r="H59" i="14"/>
  <c r="I53" i="14"/>
  <c r="H53" i="14"/>
  <c r="I28" i="14"/>
  <c r="H28" i="14"/>
  <c r="I55" i="14"/>
  <c r="H55" i="14"/>
  <c r="H56" i="14"/>
  <c r="I56" i="14"/>
  <c r="I41" i="14"/>
  <c r="H41" i="14"/>
  <c r="I46" i="14"/>
  <c r="H46" i="14"/>
  <c r="H31" i="14"/>
  <c r="I31" i="14"/>
  <c r="I32" i="14"/>
  <c r="H32" i="14"/>
  <c r="H45" i="14"/>
  <c r="H60" i="14"/>
  <c r="I60" i="14"/>
  <c r="I39" i="14"/>
  <c r="H39" i="14"/>
  <c r="I27" i="14" l="1"/>
  <c r="N50" i="16"/>
  <c r="AJ50" i="16" s="1"/>
  <c r="AN28" i="16"/>
  <c r="R45" i="16"/>
  <c r="AN45" i="16" s="1"/>
  <c r="R33" i="16"/>
  <c r="AN33" i="16" s="1"/>
  <c r="AH28" i="16"/>
  <c r="L33" i="16"/>
  <c r="AH33" i="16" s="1"/>
  <c r="L45" i="16"/>
  <c r="AH45" i="16" s="1"/>
  <c r="AE32" i="16"/>
  <c r="I33" i="16"/>
  <c r="AE33" i="16" s="1"/>
  <c r="I49" i="16"/>
  <c r="AE49" i="16" s="1"/>
  <c r="AK28" i="16"/>
  <c r="O45" i="16"/>
  <c r="AK45" i="16" s="1"/>
  <c r="O33" i="16"/>
  <c r="AK33" i="16" s="1"/>
  <c r="AQ28" i="16"/>
  <c r="U45" i="16"/>
  <c r="AQ45" i="16" s="1"/>
  <c r="U33" i="16"/>
  <c r="AQ33" i="16" s="1"/>
  <c r="AL33" i="16"/>
  <c r="P50" i="16"/>
  <c r="AL50" i="16" s="1"/>
  <c r="H26" i="13"/>
  <c r="AN16" i="16"/>
  <c r="R50" i="16"/>
  <c r="G4" i="22" s="1"/>
  <c r="AO16" i="16"/>
  <c r="S50" i="16"/>
  <c r="AO50" i="16" s="1"/>
  <c r="AN10" i="16"/>
  <c r="R44" i="16"/>
  <c r="AN44" i="16" s="1"/>
  <c r="AK16" i="16"/>
  <c r="U46" i="16"/>
  <c r="AQ46" i="16" s="1"/>
  <c r="AQ12" i="16"/>
  <c r="U16" i="16"/>
  <c r="AE7" i="16"/>
  <c r="I16" i="16"/>
  <c r="I41" i="16"/>
  <c r="AE41" i="16" s="1"/>
  <c r="AF16" i="16"/>
  <c r="J50" i="16"/>
  <c r="AF50" i="16" s="1"/>
  <c r="AC16" i="16"/>
  <c r="G50" i="16"/>
  <c r="AC50" i="16" s="1"/>
  <c r="AB7" i="16"/>
  <c r="F16" i="16"/>
  <c r="F41" i="16"/>
  <c r="AB41" i="16" s="1"/>
  <c r="AG7" i="16"/>
  <c r="K16" i="16"/>
  <c r="K41" i="16"/>
  <c r="AG41" i="16" s="1"/>
  <c r="G62" i="13"/>
  <c r="H62" i="13" s="1"/>
  <c r="L7" i="16"/>
  <c r="AD7" i="16"/>
  <c r="H41" i="16"/>
  <c r="AD41" i="16" s="1"/>
  <c r="H16" i="16"/>
  <c r="AA7" i="16"/>
  <c r="E16" i="16"/>
  <c r="E41" i="16"/>
  <c r="AA41" i="16" s="1"/>
  <c r="G34" i="13"/>
  <c r="H34" i="13" s="1"/>
  <c r="Z16" i="16"/>
  <c r="D50" i="16"/>
  <c r="Z50" i="16" s="1"/>
  <c r="I53" i="13"/>
  <c r="H53" i="13"/>
  <c r="AN50" i="16" l="1"/>
  <c r="N4" i="22" s="1"/>
  <c r="N7" i="22" s="1"/>
  <c r="O50" i="16"/>
  <c r="F4" i="22" s="1"/>
  <c r="AQ16" i="16"/>
  <c r="U50" i="16"/>
  <c r="H4" i="22" s="1"/>
  <c r="AA16" i="16"/>
  <c r="E50" i="16"/>
  <c r="AA50" i="16" s="1"/>
  <c r="K50" i="16"/>
  <c r="AG50" i="16" s="1"/>
  <c r="AG16" i="16"/>
  <c r="AD16" i="16"/>
  <c r="H50" i="16"/>
  <c r="AD50" i="16" s="1"/>
  <c r="AB16" i="16"/>
  <c r="F50" i="16"/>
  <c r="C4" i="22" s="1"/>
  <c r="AH7" i="16"/>
  <c r="L16" i="16"/>
  <c r="L41" i="16"/>
  <c r="AH41" i="16" s="1"/>
  <c r="I50" i="16"/>
  <c r="D4" i="22" s="1"/>
  <c r="AE16" i="16"/>
  <c r="F39" i="13"/>
  <c r="G39" i="13" s="1"/>
  <c r="D48" i="13"/>
  <c r="AE50" i="16" l="1"/>
  <c r="K4" i="22" s="1"/>
  <c r="K7" i="22" s="1"/>
  <c r="AQ50" i="16"/>
  <c r="O4" i="22" s="1"/>
  <c r="AK50" i="16"/>
  <c r="M4" i="22" s="1"/>
  <c r="M7" i="22" s="1"/>
  <c r="AB50" i="16"/>
  <c r="J4" i="22" s="1"/>
  <c r="L50" i="16"/>
  <c r="E4" i="22" s="1"/>
  <c r="AH16" i="16"/>
  <c r="I39" i="13"/>
  <c r="F48" i="13"/>
  <c r="D6" i="5"/>
  <c r="C16" i="5"/>
  <c r="D16" i="5" s="1"/>
  <c r="G3" i="5"/>
  <c r="D3" i="5"/>
  <c r="D7" i="5"/>
  <c r="G7" i="5"/>
  <c r="D33" i="5" s="1"/>
  <c r="E33" i="5" s="1"/>
  <c r="C11" i="16" s="1"/>
  <c r="C20" i="5"/>
  <c r="D20" i="5" s="1"/>
  <c r="D10" i="5"/>
  <c r="C24" i="5"/>
  <c r="D24" i="5" s="1"/>
  <c r="G11" i="5"/>
  <c r="D37" i="5" s="1"/>
  <c r="E37" i="5" s="1"/>
  <c r="C15" i="16" s="1"/>
  <c r="D11" i="5"/>
  <c r="G6" i="5"/>
  <c r="D32" i="5" s="1"/>
  <c r="E32" i="5" s="1"/>
  <c r="C10" i="16" s="1"/>
  <c r="C19" i="5"/>
  <c r="D19" i="5" s="1"/>
  <c r="C17" i="5"/>
  <c r="D17" i="5" s="1"/>
  <c r="G4" i="5"/>
  <c r="D30" i="5" s="1"/>
  <c r="E30" i="5" s="1"/>
  <c r="C8" i="16" s="1"/>
  <c r="D4" i="5"/>
  <c r="C18" i="5"/>
  <c r="D18" i="5" s="1"/>
  <c r="G5" i="5"/>
  <c r="D31" i="5" s="1"/>
  <c r="E31" i="5" s="1"/>
  <c r="C9" i="16" s="1"/>
  <c r="D5" i="5"/>
  <c r="C21" i="5"/>
  <c r="D21" i="5" s="1"/>
  <c r="G8" i="5"/>
  <c r="D34" i="5" s="1"/>
  <c r="E34" i="5" s="1"/>
  <c r="C12" i="16" s="1"/>
  <c r="D8" i="5"/>
  <c r="D9" i="5"/>
  <c r="G9" i="5"/>
  <c r="D35" i="5" s="1"/>
  <c r="E35" i="5" s="1"/>
  <c r="C13" i="16" s="1"/>
  <c r="C22" i="5"/>
  <c r="D22" i="5" s="1"/>
  <c r="G10" i="5"/>
  <c r="D36" i="5" s="1"/>
  <c r="E36" i="5" s="1"/>
  <c r="C14" i="16" s="1"/>
  <c r="C23" i="5"/>
  <c r="D23" i="5" s="1"/>
  <c r="Y12" i="16" l="1"/>
  <c r="C46" i="16"/>
  <c r="Y46" i="16" s="1"/>
  <c r="Y11" i="16"/>
  <c r="C45" i="16"/>
  <c r="Y45" i="16" s="1"/>
  <c r="Y10" i="16"/>
  <c r="C44" i="16"/>
  <c r="Y44" i="16" s="1"/>
  <c r="D12" i="5"/>
  <c r="Y8" i="16"/>
  <c r="C42" i="16"/>
  <c r="Y42" i="16" s="1"/>
  <c r="D29" i="5"/>
  <c r="E29" i="5" s="1"/>
  <c r="C7" i="16" s="1"/>
  <c r="G12" i="5"/>
  <c r="O8" i="22"/>
  <c r="K8" i="22"/>
  <c r="N8" i="22"/>
  <c r="J8" i="22"/>
  <c r="M8" i="22"/>
  <c r="J7" i="22"/>
  <c r="Y14" i="16"/>
  <c r="C48" i="16"/>
  <c r="Y48" i="16" s="1"/>
  <c r="Y15" i="16"/>
  <c r="C49" i="16"/>
  <c r="Y49" i="16" s="1"/>
  <c r="O5" i="22"/>
  <c r="O6" i="22" s="1"/>
  <c r="O7" i="22"/>
  <c r="Y9" i="16"/>
  <c r="C43" i="16"/>
  <c r="Y43" i="16" s="1"/>
  <c r="Y13" i="16"/>
  <c r="C47" i="16"/>
  <c r="Y47" i="16" s="1"/>
  <c r="AH50" i="16"/>
  <c r="L4" i="22" s="1"/>
  <c r="L7" i="22" s="1"/>
  <c r="G48" i="13"/>
  <c r="H48" i="13" s="1"/>
  <c r="H39" i="13"/>
  <c r="F36" i="5"/>
  <c r="G36" i="5"/>
  <c r="F32" i="5"/>
  <c r="G32" i="5"/>
  <c r="G30" i="5"/>
  <c r="F30" i="5"/>
  <c r="F35" i="5"/>
  <c r="G35" i="5"/>
  <c r="G34" i="5"/>
  <c r="F34" i="5"/>
  <c r="G31" i="5"/>
  <c r="F31" i="5"/>
  <c r="D38" i="5"/>
  <c r="E38" i="5" s="1"/>
  <c r="F38" i="5" s="1"/>
  <c r="G37" i="5"/>
  <c r="F37" i="5"/>
  <c r="F33" i="5"/>
  <c r="G33" i="5"/>
  <c r="L8" i="22" l="1"/>
  <c r="Y7" i="16"/>
  <c r="C41" i="16"/>
  <c r="Y41" i="16" s="1"/>
  <c r="C16" i="16"/>
  <c r="F29" i="5"/>
  <c r="G29" i="5"/>
  <c r="C50" i="16" l="1"/>
  <c r="Y50" i="16" s="1"/>
  <c r="Y16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Thebo</author>
    <author>Laura Feinstein</author>
  </authors>
  <commentList>
    <comment ref="C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Anne Thebo:</t>
        </r>
        <r>
          <rPr>
            <sz val="9"/>
            <color indexed="81"/>
            <rFont val="Tahoma"/>
            <family val="2"/>
          </rPr>
          <t xml:space="preserve">
The DWR and BAWF baseline values for multi-family housing are equal</t>
        </r>
      </text>
    </comment>
    <comment ref="Y2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Anne Thebo:</t>
        </r>
        <r>
          <rPr>
            <sz val="9"/>
            <color indexed="81"/>
            <rFont val="Tahoma"/>
            <family val="2"/>
          </rPr>
          <t xml:space="preserve">
The DWR and BAWF baseline values for multi-family housing are equal</t>
        </r>
      </text>
    </comment>
    <comment ref="B50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Laura Feinstein:</t>
        </r>
        <r>
          <rPr>
            <sz val="9"/>
            <color indexed="81"/>
            <rFont val="Tahoma"/>
            <family val="2"/>
          </rPr>
          <t xml:space="preserve">
Best estimate of current residential outdoor water use</t>
        </r>
      </text>
    </comment>
    <comment ref="F50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Laura Feinstein:</t>
        </r>
        <r>
          <rPr>
            <sz val="9"/>
            <color indexed="81"/>
            <rFont val="Tahoma"/>
            <family val="2"/>
          </rPr>
          <t xml:space="preserve">
Projection BAU Inefficient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Thebo</author>
  </authors>
  <commentList>
    <comment ref="C1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Anne Thebo:</t>
        </r>
        <r>
          <rPr>
            <sz val="9"/>
            <color indexed="81"/>
            <rFont val="Tahoma"/>
            <family val="2"/>
          </rPr>
          <t xml:space="preserve">
These values were not used in the analysis and only calculated for informational purposes.</t>
        </r>
      </text>
    </comment>
    <comment ref="D1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Anne Thebo:</t>
        </r>
        <r>
          <rPr>
            <sz val="9"/>
            <color indexed="81"/>
            <rFont val="Tahoma"/>
            <family val="2"/>
          </rPr>
          <t xml:space="preserve">
These values were not used in the analysis and only calculated for informational purposes.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Thebo</author>
  </authors>
  <commentList>
    <comment ref="D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Anne Thebo:</t>
        </r>
        <r>
          <rPr>
            <sz val="9"/>
            <color indexed="81"/>
            <rFont val="Tahoma"/>
            <family val="2"/>
          </rPr>
          <t xml:space="preserve">
Assumed stays constant between baseline and 2070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Thebo</author>
  </authors>
  <commentList>
    <comment ref="D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Anne Thebo:</t>
        </r>
        <r>
          <rPr>
            <sz val="9"/>
            <color indexed="81"/>
            <rFont val="Tahoma"/>
            <family val="2"/>
          </rPr>
          <t xml:space="preserve">
Assumed stays constant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Thebo</author>
  </authors>
  <commentList>
    <comment ref="I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Anne Thebo:</t>
        </r>
        <r>
          <rPr>
            <sz val="9"/>
            <color indexed="81"/>
            <rFont val="Tahoma"/>
            <family val="2"/>
          </rPr>
          <t xml:space="preserve">
From DWR Water Plan Water Balance Data</t>
        </r>
      </text>
    </comment>
    <comment ref="L4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Anne Thebo:</t>
        </r>
        <r>
          <rPr>
            <sz val="9"/>
            <color indexed="81"/>
            <rFont val="Tahoma"/>
            <family val="2"/>
          </rPr>
          <t xml:space="preserve">
See table at bottom for calculation of % reduction with MWELO/Water efficient landscaping</t>
        </r>
      </text>
    </comment>
    <comment ref="B19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Anne Thebo:</t>
        </r>
        <r>
          <rPr>
            <sz val="9"/>
            <color indexed="81"/>
            <rFont val="Tahoma"/>
            <family val="2"/>
          </rPr>
          <t xml:space="preserve">
Same as BAWF baseline for this class of water use</t>
        </r>
      </text>
    </comment>
    <comment ref="B54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Anne Thebo:
Average of county values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Thebo</author>
  </authors>
  <commentList>
    <comment ref="G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Anne Thebo:</t>
        </r>
        <r>
          <rPr>
            <sz val="9"/>
            <color indexed="81"/>
            <rFont val="Tahoma"/>
            <family val="2"/>
          </rPr>
          <t xml:space="preserve">
Needed to calculate this because SPUR data doesn't breakdown existing housing by type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Thebo</author>
  </authors>
  <commentList>
    <comment ref="B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Anne Thebo:</t>
        </r>
        <r>
          <rPr>
            <sz val="9"/>
            <color indexed="81"/>
            <rFont val="Tahoma"/>
            <family val="2"/>
          </rPr>
          <t xml:space="preserve">
Areas falling outside of digitized ET Zone boundaries. Excluded from weighting calculations.</t>
        </r>
      </text>
    </comment>
  </commentList>
</comments>
</file>

<file path=xl/sharedStrings.xml><?xml version="1.0" encoding="utf-8"?>
<sst xmlns="http://schemas.openxmlformats.org/spreadsheetml/2006/main" count="1438" uniqueCount="232">
  <si>
    <r>
      <rPr>
        <b/>
        <sz val="11"/>
        <color theme="1"/>
        <rFont val="Arial"/>
        <family val="2"/>
      </rPr>
      <t>Inefficient</t>
    </r>
    <r>
      <rPr>
        <sz val="11"/>
        <color theme="1"/>
        <rFont val="Arial"/>
        <family val="2"/>
      </rPr>
      <t xml:space="preserve"> (only post-2015 adopt MWELO*)</t>
    </r>
  </si>
  <si>
    <r>
      <rPr>
        <b/>
        <sz val="11"/>
        <color theme="1"/>
        <rFont val="Arial"/>
        <family val="2"/>
      </rPr>
      <t>Efficient</t>
    </r>
    <r>
      <rPr>
        <sz val="11"/>
        <color theme="1"/>
        <rFont val="Arial"/>
        <family val="2"/>
      </rPr>
      <t xml:space="preserve"> (50% pre-2015 adopt MWELO and post-2015 adopt MWELO*)</t>
    </r>
  </si>
  <si>
    <r>
      <rPr>
        <b/>
        <sz val="11"/>
        <color theme="1"/>
        <rFont val="Arial"/>
        <family val="2"/>
      </rPr>
      <t>Highly Efficient</t>
    </r>
    <r>
      <rPr>
        <sz val="11"/>
        <color theme="1"/>
        <rFont val="Arial"/>
        <family val="2"/>
      </rPr>
      <t xml:space="preserve"> (100% pre-2015 adopt MWELO and post-2015 adopt MWELO*)</t>
    </r>
  </si>
  <si>
    <t>Total</t>
  </si>
  <si>
    <r>
      <t>Water Use Equation</t>
    </r>
    <r>
      <rPr>
        <b/>
        <vertAlign val="superscript"/>
        <sz val="11"/>
        <color theme="1"/>
        <rFont val="Arial"/>
        <family val="2"/>
      </rPr>
      <t>1</t>
    </r>
  </si>
  <si>
    <t>Variable Name</t>
  </si>
  <si>
    <t>Variable</t>
  </si>
  <si>
    <t>Irrigated Area, ft^2</t>
  </si>
  <si>
    <t>A</t>
  </si>
  <si>
    <t>N/A</t>
  </si>
  <si>
    <r>
      <t>Net ET (ET</t>
    </r>
    <r>
      <rPr>
        <vertAlign val="sub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 xml:space="preserve"> - P</t>
    </r>
    <r>
      <rPr>
        <vertAlign val="subscript"/>
        <sz val="11"/>
        <color theme="1"/>
        <rFont val="Arial"/>
        <family val="2"/>
      </rPr>
      <t>eff</t>
    </r>
    <r>
      <rPr>
        <sz val="11"/>
        <color theme="1"/>
        <rFont val="Arial"/>
        <family val="2"/>
      </rPr>
      <t>)</t>
    </r>
  </si>
  <si>
    <t>ET</t>
  </si>
  <si>
    <t>Plant factor/crop coefficient, dimensionless</t>
  </si>
  <si>
    <t>P</t>
  </si>
  <si>
    <t>Irrigation system efficiency, dimensionless</t>
  </si>
  <si>
    <t xml:space="preserve">e </t>
  </si>
  <si>
    <t>Current</t>
  </si>
  <si>
    <t>Alameda</t>
  </si>
  <si>
    <t>ETo Zone</t>
  </si>
  <si>
    <t>County</t>
  </si>
  <si>
    <t>SUM</t>
  </si>
  <si>
    <t>Contra Costa</t>
  </si>
  <si>
    <t>Marin</t>
  </si>
  <si>
    <t>Napa</t>
  </si>
  <si>
    <t>San Francisco</t>
  </si>
  <si>
    <t>San Mateo</t>
  </si>
  <si>
    <t>Santa Clara</t>
  </si>
  <si>
    <t>Solano</t>
  </si>
  <si>
    <t>Sonoma</t>
  </si>
  <si>
    <t>https://cimis.water.ca.gov/Content/pdf/CimisRefEvapZones.pdf</t>
  </si>
  <si>
    <t>Annual ETo(in/yr)</t>
  </si>
  <si>
    <t>Max (in/mo)</t>
  </si>
  <si>
    <t>Min (in/mo)</t>
  </si>
  <si>
    <t>Area Weighted Annual Avg Eto (in/yr)</t>
  </si>
  <si>
    <t>All</t>
  </si>
  <si>
    <t>Precip Data: https://geodata.lib.berkeley.edu/catalog/stanford-qd450mp3166</t>
  </si>
  <si>
    <t>Average Annual Precip (mm/yr)</t>
  </si>
  <si>
    <t>StdDev (mm/yr)</t>
  </si>
  <si>
    <t>Average Annual Precip (in/yr)</t>
  </si>
  <si>
    <t>StdDev (in/yr)</t>
  </si>
  <si>
    <t>Area Weighted Annual Avg Precip (in/yr)</t>
  </si>
  <si>
    <t>Net ET Stats</t>
  </si>
  <si>
    <t>Max</t>
  </si>
  <si>
    <t>Min</t>
  </si>
  <si>
    <t>Average</t>
  </si>
  <si>
    <t>StDev</t>
  </si>
  <si>
    <t>Water Use (W) = (A*ET*P)/e</t>
  </si>
  <si>
    <t>Year</t>
  </si>
  <si>
    <t>Units</t>
  </si>
  <si>
    <t>SF</t>
  </si>
  <si>
    <t>Single Family</t>
  </si>
  <si>
    <t>MF</t>
  </si>
  <si>
    <t>Multi-Family</t>
  </si>
  <si>
    <t>SF Weighted Landscape Area (ft2)</t>
  </si>
  <si>
    <t>County SF Landscape Area (ft2)</t>
  </si>
  <si>
    <t>County Irrigated Percent Estimate (%) (Estimated using de Oreo Table 68)</t>
  </si>
  <si>
    <t>Irrigated Area (Parcel (ft2))</t>
  </si>
  <si>
    <t>County SF IrrigatedArea (ft2)</t>
  </si>
  <si>
    <t>DWR 2010-15 Average SF Outdoor Water Use (AFY)</t>
  </si>
  <si>
    <t>DWR SF Outdoor Use/Unit (AFY/Unit)</t>
  </si>
  <si>
    <t>DWR SF Outdoor Use/Unit (GPD/Unit)</t>
  </si>
  <si>
    <t xml:space="preserve">2020 Outdoor Water Use (MGY) </t>
  </si>
  <si>
    <t>Estimated SF Outdoor Use/Unit (AFY/Unit)</t>
  </si>
  <si>
    <t>DWR 2010-15 Average MF Outdoor Water Use (AFY)</t>
  </si>
  <si>
    <t>DWR 2010-15 StDevMF Outdoor Water Use (AFY)</t>
  </si>
  <si>
    <t>% SF</t>
  </si>
  <si>
    <t>% MF</t>
  </si>
  <si>
    <t>BAU 2070</t>
  </si>
  <si>
    <t>Existing SF</t>
  </si>
  <si>
    <t>New SF</t>
  </si>
  <si>
    <t>Existing MF</t>
  </si>
  <si>
    <t>New MF</t>
  </si>
  <si>
    <t>SPUR 2070</t>
  </si>
  <si>
    <t>Baseline Housing (ACS 2019)</t>
  </si>
  <si>
    <t>Existing Units (All)</t>
  </si>
  <si>
    <t>Row Labels</t>
  </si>
  <si>
    <t>Sum of ExistingUnits</t>
  </si>
  <si>
    <t>Sum of SF_BAU</t>
  </si>
  <si>
    <t>Sum of MM_BAU</t>
  </si>
  <si>
    <t>Sum of MF_BAU</t>
  </si>
  <si>
    <t>Sum of LT_BAU</t>
  </si>
  <si>
    <t>Sum of MT_BAU</t>
  </si>
  <si>
    <t>Sum of HT_BAU</t>
  </si>
  <si>
    <t>Sum of SUM_BAU</t>
  </si>
  <si>
    <t>Sum of SF_SPUR</t>
  </si>
  <si>
    <t>Sum of MM_SPUR</t>
  </si>
  <si>
    <t>Sum of MF_SPUR</t>
  </si>
  <si>
    <t>Sum of LT_SPUR</t>
  </si>
  <si>
    <t>Sum of MT_SPUR</t>
  </si>
  <si>
    <t>Sum of HT_SPUR</t>
  </si>
  <si>
    <t>Sum of SUM_SPUR</t>
  </si>
  <si>
    <t>Grand Total</t>
  </si>
  <si>
    <t>TOTAL</t>
  </si>
  <si>
    <t>Sum of NetUnits_BAU</t>
  </si>
  <si>
    <t>Sum of NetUnits_SPUR</t>
  </si>
  <si>
    <t>Sum of Existing+BAUUnits</t>
  </si>
  <si>
    <t>Sum of Existing+SPURUnits</t>
  </si>
  <si>
    <t>SPUR 2020 (SPUR * ACS Type%)</t>
  </si>
  <si>
    <t>Scenario</t>
  </si>
  <si>
    <t>Existing</t>
  </si>
  <si>
    <t>BAU</t>
  </si>
  <si>
    <t>SPUR</t>
  </si>
  <si>
    <t>All Units</t>
  </si>
  <si>
    <t>Sum all units (new+existing)</t>
  </si>
  <si>
    <t>SUM Towers</t>
  </si>
  <si>
    <t>Existing SF Units (SPUR 2020)</t>
  </si>
  <si>
    <t>New SF BAU (2070)</t>
  </si>
  <si>
    <t>Inefficient</t>
  </si>
  <si>
    <t>AFY</t>
  </si>
  <si>
    <t>County SF IrrigatedArea (ft2) (All SF)</t>
  </si>
  <si>
    <t>County SF IrrigatedArea (ft2) (Existing SF)</t>
  </si>
  <si>
    <t>County SF IrrigatedArea (ft2) (New SF)</t>
  </si>
  <si>
    <t>2070 Outdoor from existing SF (ft3/yr)</t>
  </si>
  <si>
    <t>2070 Outdoor from new SF (ft3/yr)</t>
  </si>
  <si>
    <t>2070 Outdoor from All SF (AFY)</t>
  </si>
  <si>
    <t xml:space="preserve">2070 Outdoor Water Use from All SF (MGY) </t>
  </si>
  <si>
    <t>SUM 2070 Outdoor All SF (ft3/yr)</t>
  </si>
  <si>
    <t>Inefficient (only post-2015 adopt MWELO*)</t>
  </si>
  <si>
    <t>Baseline</t>
  </si>
  <si>
    <t>Existing Single Family Housing Units (SPUR*ACS 2019 SF%)</t>
  </si>
  <si>
    <t>New</t>
  </si>
  <si>
    <t>Efficient</t>
  </si>
  <si>
    <t>Highly Efficient</t>
  </si>
  <si>
    <t>SUM Existing+New</t>
  </si>
  <si>
    <t>Efficiency Scenario</t>
  </si>
  <si>
    <t>Existing (AFY)</t>
  </si>
  <si>
    <t>New (AFY)</t>
  </si>
  <si>
    <t>Housing</t>
  </si>
  <si>
    <t>Efficiency</t>
  </si>
  <si>
    <t>Component</t>
  </si>
  <si>
    <t>Highly Efficent</t>
  </si>
  <si>
    <t>Baseline-DWR</t>
  </si>
  <si>
    <t>2070 Outdoor from existing SF (AFY)</t>
  </si>
  <si>
    <t>2070 Outdoor from new SF (AFY)</t>
  </si>
  <si>
    <t>MGY</t>
  </si>
  <si>
    <r>
      <t>ET (net) = (ET</t>
    </r>
    <r>
      <rPr>
        <vertAlign val="sub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 xml:space="preserve"> - P</t>
    </r>
    <r>
      <rPr>
        <vertAlign val="subscript"/>
        <sz val="11"/>
        <color theme="1"/>
        <rFont val="Arial"/>
        <family val="2"/>
      </rPr>
      <t>eff</t>
    </r>
    <r>
      <rPr>
        <sz val="11"/>
        <color theme="1"/>
        <rFont val="Arial"/>
        <family val="2"/>
      </rPr>
      <t>)</t>
    </r>
  </si>
  <si>
    <t>Baseline-BAWF</t>
  </si>
  <si>
    <t>Single Family (SF)</t>
  </si>
  <si>
    <t>Multi-Family (MF)</t>
  </si>
  <si>
    <t>All Current Units</t>
  </si>
  <si>
    <t>SPUR Current (SPUR * ACS Type%)</t>
  </si>
  <si>
    <t>ACS % SF</t>
  </si>
  <si>
    <t>ACS % MF</t>
  </si>
  <si>
    <t xml:space="preserve">County Irrigated Percent Estimate (%) </t>
  </si>
  <si>
    <t>SF Parcel Weighted Landscape Area (ft2)</t>
  </si>
  <si>
    <t>SF Parcel Estimated Irrigated Area (ft2)</t>
  </si>
  <si>
    <t>Irrigated Area Existing SF (ft2)</t>
  </si>
  <si>
    <t>Irrigated Area New SF (ft2)</t>
  </si>
  <si>
    <t>Irrigated Area All SF (ft2)</t>
  </si>
  <si>
    <t>MF Inefficient Water Factor (AFY/unit)</t>
  </si>
  <si>
    <t>MF MWELO/ Water Efficient Landscaping Water Factor (AFY/unit)</t>
  </si>
  <si>
    <t>DWR 2010-15 St Dev MF Outdoor Water Use (AFY)</t>
  </si>
  <si>
    <t>Workbook Date:</t>
  </si>
  <si>
    <t>Type</t>
  </si>
  <si>
    <t>Use</t>
  </si>
  <si>
    <t>Calculation</t>
  </si>
  <si>
    <t>SF_Outdoor_2020</t>
  </si>
  <si>
    <t>SF_BAU_Outdoor_2070</t>
  </si>
  <si>
    <t>SF_SPUR_Outdoor_2070</t>
  </si>
  <si>
    <t>ResOutdoorSummary</t>
  </si>
  <si>
    <t>MF Outdoor</t>
  </si>
  <si>
    <t>2070 Housing Appendix Table</t>
  </si>
  <si>
    <t>Calculation and Results</t>
  </si>
  <si>
    <t>Summary of results from following worksheets</t>
  </si>
  <si>
    <t>ETPrecipCalcs</t>
  </si>
  <si>
    <t>Area weighted calculation of evapotranspiration and precipitation by county</t>
  </si>
  <si>
    <t>Area within ETo Zone (mi2)</t>
  </si>
  <si>
    <t>Area Weighted Precip by ETo Zone</t>
  </si>
  <si>
    <t>Calculation of precipitation and evapotranspiration inputs</t>
  </si>
  <si>
    <t>Sum all units (new, existing)</t>
  </si>
  <si>
    <t>2070 Housing Type Tables</t>
  </si>
  <si>
    <t>Calculation + Input</t>
  </si>
  <si>
    <t>Estimate current and 2070 distribution of single and multi-family housing units</t>
  </si>
  <si>
    <t>Appendix Summary Table</t>
  </si>
  <si>
    <t>Notes</t>
  </si>
  <si>
    <t xml:space="preserve">Current (BAWF) Outdoor Water Use (AFY) </t>
  </si>
  <si>
    <t xml:space="preserve">Current (BAWF) Outdoor Water Use (ft3/yr) </t>
  </si>
  <si>
    <t xml:space="preserve"> Estimated Irrigated Area by County (See Parcel Analysis Workbook for Details)</t>
  </si>
  <si>
    <t>2020 Single Family Outdoor Water Use (BAWF Baseline)</t>
  </si>
  <si>
    <t>See 'ETPrecipCalcs'</t>
  </si>
  <si>
    <t>Existing MF (units)</t>
  </si>
  <si>
    <t>New MF (units)</t>
  </si>
  <si>
    <t>Number of New and Existing Multi-Family (MF) Housing Units by Scenario</t>
  </si>
  <si>
    <t>Calculation of Multi-Family Housing Unit Water Factors</t>
  </si>
  <si>
    <t>Adoption Rates of Water Efficient Landscaping</t>
  </si>
  <si>
    <t>County/Housing</t>
  </si>
  <si>
    <t>Efficient MF Water Factor (AFY/unit)</t>
  </si>
  <si>
    <t>Inefficient (Existing) MF Water Factor (AFY/unit)</t>
  </si>
  <si>
    <t>Development Scenario</t>
  </si>
  <si>
    <t>Current DWR Outdoor Single Family (SF) Residential Baseline</t>
  </si>
  <si>
    <t>SF Weighted Landscape Area (Per SF Parcel) (ft2)</t>
  </si>
  <si>
    <t>Irrigated Area (Per SF Parcel) (ft2)</t>
  </si>
  <si>
    <t>2070 Single Family (SF) BAU Scenario</t>
  </si>
  <si>
    <t>Water Use Equation</t>
  </si>
  <si>
    <t>Outdoor Water Use Equation</t>
  </si>
  <si>
    <t>Constant, Pre-2015 (Inefficient)</t>
  </si>
  <si>
    <t>Constant, Post-2015 (Efficient/MWELO Compliant)</t>
  </si>
  <si>
    <r>
      <rPr>
        <b/>
        <sz val="11"/>
        <color theme="1"/>
        <rFont val="Arial"/>
        <family val="2"/>
      </rPr>
      <t>Efficient</t>
    </r>
    <r>
      <rPr>
        <sz val="11"/>
        <color theme="1"/>
        <rFont val="Arial"/>
        <family val="2"/>
      </rPr>
      <t xml:space="preserve"> (50% pre-2015 adopt MWELO/Water Efficient Landscaping and post-2015 adopt MWELO*)</t>
    </r>
  </si>
  <si>
    <r>
      <rPr>
        <b/>
        <sz val="11"/>
        <color theme="1"/>
        <rFont val="Arial"/>
        <family val="2"/>
      </rPr>
      <t>Highly Efficient</t>
    </r>
    <r>
      <rPr>
        <sz val="11"/>
        <color theme="1"/>
        <rFont val="Arial"/>
        <family val="2"/>
      </rPr>
      <t xml:space="preserve"> (100% pre-2015 adopt MWELO/Water Efficient Landscaping and post-2015 adopt MWELO*)</t>
    </r>
  </si>
  <si>
    <t>Inefficient Scenario (without MWELO)</t>
  </si>
  <si>
    <t>Calculation of MF Adjustment Factor for MWELO/Water Efficient Landscaping Adoption</t>
  </si>
  <si>
    <t>***For the same area of irrigated landscape area, adoption of MWELO (with these plant factors and irrigation efficiency values) works out to a 31.25% reduction in outdoor water use.***</t>
  </si>
  <si>
    <t>Dummy Irrigated Area (ft2)</t>
  </si>
  <si>
    <t>Plant Factor (P)</t>
  </si>
  <si>
    <t>Efficient Scenario Water Use (with MWELO/Water Efficient Landscaping)</t>
  </si>
  <si>
    <t>Irrigation Efficiency (e)</t>
  </si>
  <si>
    <t>Inefficient Water Use (ft3/yr)</t>
  </si>
  <si>
    <t>Efficient Water Use (ft3/yr)</t>
  </si>
  <si>
    <t>Net ET (in/yr) (Eto-(0.25*Precip))</t>
  </si>
  <si>
    <t>Area Weighted Annual Avg ETo (in/yr)</t>
  </si>
  <si>
    <t>% Reduction in Water Use with MWELO/ Efficient Landscaping</t>
  </si>
  <si>
    <t>IrrigatedAreaAppendixTable</t>
  </si>
  <si>
    <t>MFAppendixTable</t>
  </si>
  <si>
    <t>Worksheet</t>
  </si>
  <si>
    <t>Workbook Contents</t>
  </si>
  <si>
    <t>Current (baseline) water use by existing single family homes</t>
  </si>
  <si>
    <t>Outdoor water use by existing and new single family homes in 2070 under BAU scenario</t>
  </si>
  <si>
    <t>Outdoor water use by existing and new single family homes in 2070 under SPUR scenario</t>
  </si>
  <si>
    <t>Current, BAU, and SPUR scenario outdoor water use by existing and new multi-family homes (Current and 2070)</t>
  </si>
  <si>
    <t>Includes calculation of outdoor water use factors for multi-family housing units (based on current DWR data)</t>
  </si>
  <si>
    <t>Includes conversion of results from AFY to MGY</t>
  </si>
  <si>
    <t>**Additional details on the GIS analysis completed to estimate single family parcel area and irrigated area on these parcels is available in the report Appendix and upon request.</t>
  </si>
  <si>
    <t>Additional details on the GIS analysis used to estimate these values are in the report Appendix and upon request.</t>
  </si>
  <si>
    <t>Model inputs - typical single family parcel size and irrigated area by county</t>
  </si>
  <si>
    <t>Model inputs - multi-family water factors by county</t>
  </si>
  <si>
    <t>Model inputs - # housing units by type and scenario</t>
  </si>
  <si>
    <t>reduction from inefficient SPUR 2070 scenario</t>
  </si>
  <si>
    <t>% reduction from inefficient SPUR 2070 scenario</t>
  </si>
  <si>
    <t>change from current baseline</t>
  </si>
  <si>
    <t>change from inefficient BAU projection</t>
  </si>
  <si>
    <t>This workbook contains the data and spreadsheets that Pacific Institute used to estimate outdoor residential water use in its Water for a Growing Bay Area project with SPUR.</t>
  </si>
  <si>
    <t>Additional background on inputs and methods can be found at spur.org/bayareawater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</si>
</sst>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00000000"/>
    <numFmt numFmtId="167" formatCode="0.000"/>
    <numFmt numFmtId="168" formatCode="0.0000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8"/>
      <name val="Arial"/>
      <family val="2"/>
    </font>
    <font>
      <b/>
      <sz val="11"/>
      <color rgb="FFC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1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2" fontId="0" fillId="0" borderId="0" xfId="0" applyNumberFormat="1" applyAlignment="1">
      <alignment horizontal="center"/>
    </xf>
    <xf numFmtId="0" fontId="2" fillId="0" borderId="1" xfId="0" applyFont="1" applyBorder="1"/>
    <xf numFmtId="3" fontId="0" fillId="0" borderId="1" xfId="0" applyNumberFormat="1" applyBorder="1"/>
    <xf numFmtId="0" fontId="0" fillId="0" borderId="1" xfId="0" applyBorder="1"/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1" fontId="0" fillId="0" borderId="0" xfId="0" applyNumberFormat="1"/>
    <xf numFmtId="164" fontId="0" fillId="0" borderId="0" xfId="0" applyNumberFormat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166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2" fontId="0" fillId="0" borderId="0" xfId="0" applyNumberFormat="1"/>
    <xf numFmtId="0" fontId="0" fillId="2" borderId="0" xfId="0" applyFill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165" fontId="0" fillId="0" borderId="1" xfId="1" applyNumberFormat="1" applyFont="1" applyBorder="1"/>
    <xf numFmtId="1" fontId="2" fillId="0" borderId="0" xfId="0" applyNumberFormat="1" applyFont="1"/>
    <xf numFmtId="3" fontId="0" fillId="2" borderId="0" xfId="0" applyNumberFormat="1" applyFill="1"/>
    <xf numFmtId="0" fontId="0" fillId="5" borderId="0" xfId="0" applyFill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Fill="1"/>
    <xf numFmtId="165" fontId="0" fillId="0" borderId="0" xfId="0" applyNumberFormat="1" applyFill="1" applyAlignment="1">
      <alignment horizontal="center" vertical="center"/>
    </xf>
    <xf numFmtId="3" fontId="0" fillId="3" borderId="0" xfId="0" applyNumberFormat="1" applyFill="1"/>
    <xf numFmtId="0" fontId="0" fillId="6" borderId="0" xfId="0" applyFill="1" applyAlignment="1">
      <alignment wrapText="1"/>
    </xf>
    <xf numFmtId="3" fontId="0" fillId="6" borderId="0" xfId="0" applyNumberFormat="1" applyFill="1"/>
    <xf numFmtId="0" fontId="2" fillId="6" borderId="0" xfId="0" applyFont="1" applyFill="1"/>
    <xf numFmtId="3" fontId="0" fillId="5" borderId="0" xfId="0" applyNumberFormat="1" applyFill="1"/>
    <xf numFmtId="3" fontId="0" fillId="0" borderId="0" xfId="1" applyNumberFormat="1" applyFont="1"/>
    <xf numFmtId="3" fontId="2" fillId="5" borderId="0" xfId="1" applyNumberFormat="1" applyFont="1" applyFill="1"/>
    <xf numFmtId="3" fontId="2" fillId="5" borderId="0" xfId="0" applyNumberFormat="1" applyFont="1" applyFill="1"/>
    <xf numFmtId="3" fontId="2" fillId="0" borderId="0" xfId="1" applyNumberFormat="1" applyFont="1"/>
    <xf numFmtId="3" fontId="2" fillId="3" borderId="0" xfId="1" applyNumberFormat="1" applyFont="1" applyFill="1"/>
    <xf numFmtId="3" fontId="2" fillId="6" borderId="0" xfId="1" applyNumberFormat="1" applyFont="1" applyFill="1"/>
    <xf numFmtId="3" fontId="2" fillId="3" borderId="0" xfId="0" applyNumberFormat="1" applyFont="1" applyFill="1"/>
    <xf numFmtId="3" fontId="2" fillId="6" borderId="0" xfId="0" applyNumberFormat="1" applyFont="1" applyFill="1"/>
    <xf numFmtId="4" fontId="0" fillId="5" borderId="0" xfId="0" applyNumberFormat="1" applyFill="1"/>
    <xf numFmtId="0" fontId="0" fillId="7" borderId="0" xfId="0" applyFill="1" applyAlignment="1">
      <alignment wrapText="1"/>
    </xf>
    <xf numFmtId="3" fontId="0" fillId="7" borderId="0" xfId="0" applyNumberFormat="1" applyFill="1"/>
    <xf numFmtId="3" fontId="2" fillId="2" borderId="0" xfId="0" applyNumberFormat="1" applyFont="1" applyFill="1"/>
    <xf numFmtId="3" fontId="2" fillId="7" borderId="0" xfId="0" applyNumberFormat="1" applyFont="1" applyFill="1"/>
    <xf numFmtId="3" fontId="2" fillId="0" borderId="0" xfId="1" applyNumberFormat="1" applyFont="1" applyFill="1"/>
    <xf numFmtId="2" fontId="0" fillId="0" borderId="0" xfId="0" applyNumberFormat="1" applyFill="1" applyAlignment="1">
      <alignment horizontal="center"/>
    </xf>
    <xf numFmtId="165" fontId="0" fillId="0" borderId="0" xfId="0" applyNumberFormat="1" applyAlignment="1">
      <alignment wrapText="1"/>
    </xf>
    <xf numFmtId="0" fontId="0" fillId="0" borderId="0" xfId="0" quotePrefix="1"/>
    <xf numFmtId="43" fontId="0" fillId="0" borderId="1" xfId="0" applyNumberFormat="1" applyBorder="1"/>
    <xf numFmtId="0" fontId="2" fillId="2" borderId="0" xfId="0" applyFont="1" applyFill="1" applyAlignment="1">
      <alignment wrapText="1"/>
    </xf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10" borderId="0" xfId="0" applyFill="1"/>
    <xf numFmtId="3" fontId="0" fillId="8" borderId="0" xfId="0" applyNumberFormat="1" applyFill="1"/>
    <xf numFmtId="3" fontId="0" fillId="9" borderId="0" xfId="0" applyNumberFormat="1" applyFill="1"/>
    <xf numFmtId="0" fontId="2" fillId="9" borderId="0" xfId="0" applyFont="1" applyFill="1" applyAlignment="1">
      <alignment wrapText="1"/>
    </xf>
    <xf numFmtId="0" fontId="2" fillId="10" borderId="0" xfId="0" applyFont="1" applyFill="1"/>
    <xf numFmtId="3" fontId="2" fillId="9" borderId="0" xfId="0" applyNumberFormat="1" applyFont="1" applyFill="1"/>
    <xf numFmtId="0" fontId="2" fillId="3" borderId="0" xfId="0" applyFont="1" applyFill="1" applyAlignment="1">
      <alignment wrapText="1"/>
    </xf>
    <xf numFmtId="3" fontId="0" fillId="2" borderId="0" xfId="1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0" fontId="0" fillId="11" borderId="0" xfId="0" applyFill="1"/>
    <xf numFmtId="0" fontId="2" fillId="11" borderId="0" xfId="0" applyFont="1" applyFill="1"/>
    <xf numFmtId="3" fontId="2" fillId="11" borderId="0" xfId="0" applyNumberFormat="1" applyFont="1" applyFill="1"/>
    <xf numFmtId="0" fontId="0" fillId="11" borderId="0" xfId="0" applyFill="1" applyAlignment="1">
      <alignment wrapText="1"/>
    </xf>
    <xf numFmtId="0" fontId="2" fillId="11" borderId="0" xfId="0" applyFont="1" applyFill="1" applyAlignment="1">
      <alignment wrapText="1"/>
    </xf>
    <xf numFmtId="0" fontId="0" fillId="0" borderId="0" xfId="0" applyFill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3" fontId="0" fillId="0" borderId="1" xfId="0" applyNumberFormat="1" applyFill="1" applyBorder="1"/>
    <xf numFmtId="4" fontId="0" fillId="0" borderId="1" xfId="0" applyNumberFormat="1" applyFill="1" applyBorder="1"/>
    <xf numFmtId="3" fontId="0" fillId="0" borderId="1" xfId="1" applyNumberFormat="1" applyFont="1" applyFill="1" applyBorder="1"/>
    <xf numFmtId="0" fontId="0" fillId="0" borderId="4" xfId="0" applyFill="1" applyBorder="1"/>
    <xf numFmtId="3" fontId="0" fillId="0" borderId="9" xfId="0" applyNumberFormat="1" applyFill="1" applyBorder="1"/>
    <xf numFmtId="4" fontId="0" fillId="0" borderId="10" xfId="0" applyNumberFormat="1" applyFill="1" applyBorder="1"/>
    <xf numFmtId="3" fontId="0" fillId="0" borderId="9" xfId="1" applyNumberFormat="1" applyFont="1" applyFill="1" applyBorder="1"/>
    <xf numFmtId="3" fontId="0" fillId="0" borderId="10" xfId="0" applyNumberFormat="1" applyFill="1" applyBorder="1"/>
    <xf numFmtId="3" fontId="0" fillId="0" borderId="10" xfId="1" applyNumberFormat="1" applyFont="1" applyFill="1" applyBorder="1"/>
    <xf numFmtId="0" fontId="2" fillId="0" borderId="3" xfId="0" applyFont="1" applyFill="1" applyBorder="1"/>
    <xf numFmtId="3" fontId="2" fillId="0" borderId="14" xfId="0" applyNumberFormat="1" applyFont="1" applyFill="1" applyBorder="1"/>
    <xf numFmtId="3" fontId="2" fillId="0" borderId="15" xfId="0" applyNumberFormat="1" applyFont="1" applyFill="1" applyBorder="1"/>
    <xf numFmtId="3" fontId="2" fillId="0" borderId="16" xfId="0" applyNumberFormat="1" applyFont="1" applyFill="1" applyBorder="1"/>
    <xf numFmtId="0" fontId="0" fillId="0" borderId="20" xfId="0" applyFill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4" fontId="0" fillId="0" borderId="22" xfId="0" applyNumberFormat="1" applyFill="1" applyBorder="1"/>
    <xf numFmtId="4" fontId="0" fillId="0" borderId="23" xfId="0" applyNumberFormat="1" applyFill="1" applyBorder="1"/>
    <xf numFmtId="3" fontId="0" fillId="0" borderId="21" xfId="1" applyNumberFormat="1" applyFont="1" applyFill="1" applyBorder="1"/>
    <xf numFmtId="3" fontId="0" fillId="0" borderId="22" xfId="1" applyNumberFormat="1" applyFont="1" applyFill="1" applyBorder="1"/>
    <xf numFmtId="3" fontId="0" fillId="0" borderId="23" xfId="1" applyNumberFormat="1" applyFont="1" applyFill="1" applyBorder="1"/>
    <xf numFmtId="3" fontId="0" fillId="0" borderId="23" xfId="0" applyNumberFormat="1" applyFill="1" applyBorder="1"/>
    <xf numFmtId="0" fontId="2" fillId="0" borderId="5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0" fillId="0" borderId="24" xfId="0" applyFill="1" applyBorder="1"/>
    <xf numFmtId="3" fontId="0" fillId="0" borderId="25" xfId="0" applyNumberFormat="1" applyFill="1" applyBorder="1"/>
    <xf numFmtId="3" fontId="0" fillId="0" borderId="26" xfId="0" applyNumberFormat="1" applyFill="1" applyBorder="1"/>
    <xf numFmtId="4" fontId="0" fillId="0" borderId="26" xfId="0" applyNumberFormat="1" applyFill="1" applyBorder="1"/>
    <xf numFmtId="4" fontId="0" fillId="0" borderId="27" xfId="0" applyNumberFormat="1" applyFill="1" applyBorder="1"/>
    <xf numFmtId="3" fontId="0" fillId="0" borderId="25" xfId="1" applyNumberFormat="1" applyFont="1" applyFill="1" applyBorder="1"/>
    <xf numFmtId="3" fontId="0" fillId="0" borderId="26" xfId="1" applyNumberFormat="1" applyFont="1" applyFill="1" applyBorder="1"/>
    <xf numFmtId="3" fontId="0" fillId="0" borderId="27" xfId="1" applyNumberFormat="1" applyFont="1" applyFill="1" applyBorder="1"/>
    <xf numFmtId="3" fontId="0" fillId="0" borderId="27" xfId="0" applyNumberFormat="1" applyFill="1" applyBorder="1"/>
    <xf numFmtId="0" fontId="2" fillId="0" borderId="2" xfId="0" applyFont="1" applyFill="1" applyBorder="1"/>
    <xf numFmtId="3" fontId="2" fillId="0" borderId="28" xfId="0" applyNumberFormat="1" applyFont="1" applyFill="1" applyBorder="1"/>
    <xf numFmtId="3" fontId="2" fillId="0" borderId="29" xfId="1" applyNumberFormat="1" applyFont="1" applyFill="1" applyBorder="1"/>
    <xf numFmtId="3" fontId="2" fillId="0" borderId="29" xfId="0" applyNumberFormat="1" applyFont="1" applyFill="1" applyBorder="1"/>
    <xf numFmtId="3" fontId="2" fillId="0" borderId="30" xfId="0" applyNumberFormat="1" applyFont="1" applyFill="1" applyBorder="1"/>
    <xf numFmtId="3" fontId="2" fillId="0" borderId="28" xfId="1" applyNumberFormat="1" applyFont="1" applyFill="1" applyBorder="1"/>
    <xf numFmtId="3" fontId="2" fillId="0" borderId="30" xfId="1" applyNumberFormat="1" applyFont="1" applyFill="1" applyBorder="1"/>
    <xf numFmtId="3" fontId="2" fillId="0" borderId="31" xfId="0" applyNumberFormat="1" applyFont="1" applyFill="1" applyBorder="1"/>
    <xf numFmtId="3" fontId="2" fillId="0" borderId="33" xfId="0" applyNumberFormat="1" applyFont="1" applyFill="1" applyBorder="1"/>
    <xf numFmtId="0" fontId="0" fillId="0" borderId="0" xfId="0" applyBorder="1"/>
    <xf numFmtId="3" fontId="2" fillId="0" borderId="35" xfId="0" applyNumberFormat="1" applyFont="1" applyFill="1" applyBorder="1"/>
    <xf numFmtId="0" fontId="0" fillId="0" borderId="34" xfId="0" applyBorder="1"/>
    <xf numFmtId="0" fontId="2" fillId="0" borderId="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1" fontId="0" fillId="0" borderId="1" xfId="0" applyNumberFormat="1" applyBorder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Fill="1" applyBorder="1"/>
    <xf numFmtId="165" fontId="0" fillId="0" borderId="1" xfId="0" applyNumberForma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7" fontId="0" fillId="0" borderId="1" xfId="0" applyNumberFormat="1" applyBorder="1" applyAlignment="1">
      <alignment horizontal="center"/>
    </xf>
    <xf numFmtId="14" fontId="2" fillId="0" borderId="0" xfId="0" applyNumberFormat="1" applyFont="1" applyAlignment="1">
      <alignment horizontal="left" wrapText="1"/>
    </xf>
    <xf numFmtId="1" fontId="0" fillId="0" borderId="0" xfId="0" applyNumberFormat="1" applyFill="1"/>
    <xf numFmtId="164" fontId="0" fillId="0" borderId="0" xfId="0" applyNumberFormat="1" applyFill="1"/>
    <xf numFmtId="0" fontId="2" fillId="0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164" fontId="0" fillId="3" borderId="1" xfId="0" applyNumberFormat="1" applyFill="1" applyBorder="1"/>
    <xf numFmtId="0" fontId="2" fillId="3" borderId="0" xfId="0" applyFont="1" applyFill="1"/>
    <xf numFmtId="3" fontId="0" fillId="0" borderId="1" xfId="1" applyNumberFormat="1" applyFont="1" applyBorder="1"/>
    <xf numFmtId="0" fontId="10" fillId="0" borderId="0" xfId="0" applyFont="1"/>
    <xf numFmtId="165" fontId="0" fillId="4" borderId="1" xfId="1" applyNumberFormat="1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165" fontId="0" fillId="4" borderId="1" xfId="1" applyNumberFormat="1" applyFont="1" applyFill="1" applyBorder="1"/>
    <xf numFmtId="0" fontId="0" fillId="12" borderId="1" xfId="0" applyFill="1" applyBorder="1" applyAlignment="1">
      <alignment wrapText="1"/>
    </xf>
    <xf numFmtId="167" fontId="0" fillId="12" borderId="1" xfId="0" applyNumberFormat="1" applyFill="1" applyBorder="1"/>
    <xf numFmtId="1" fontId="0" fillId="12" borderId="1" xfId="0" applyNumberFormat="1" applyFill="1" applyBorder="1"/>
    <xf numFmtId="0" fontId="2" fillId="10" borderId="0" xfId="0" applyFont="1" applyFill="1" applyAlignment="1">
      <alignment wrapText="1"/>
    </xf>
    <xf numFmtId="0" fontId="2" fillId="8" borderId="0" xfId="0" applyFont="1" applyFill="1" applyAlignment="1">
      <alignment wrapText="1"/>
    </xf>
    <xf numFmtId="3" fontId="0" fillId="0" borderId="0" xfId="0" applyNumberFormat="1" applyBorder="1"/>
    <xf numFmtId="3" fontId="0" fillId="0" borderId="0" xfId="1" applyNumberFormat="1" applyFont="1" applyBorder="1"/>
    <xf numFmtId="168" fontId="0" fillId="0" borderId="1" xfId="0" applyNumberFormat="1" applyBorder="1"/>
    <xf numFmtId="167" fontId="0" fillId="0" borderId="1" xfId="0" applyNumberFormat="1" applyBorder="1"/>
    <xf numFmtId="3" fontId="2" fillId="0" borderId="1" xfId="1" applyNumberFormat="1" applyFont="1" applyBorder="1"/>
    <xf numFmtId="37" fontId="0" fillId="0" borderId="1" xfId="1" applyNumberFormat="1" applyFont="1" applyBorder="1"/>
    <xf numFmtId="0" fontId="2" fillId="0" borderId="0" xfId="0" applyFont="1" applyBorder="1"/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2" fillId="0" borderId="37" xfId="0" applyFont="1" applyBorder="1" applyAlignment="1">
      <alignment wrapText="1"/>
    </xf>
    <xf numFmtId="3" fontId="0" fillId="0" borderId="0" xfId="0" applyNumberFormat="1" applyFont="1" applyFill="1"/>
    <xf numFmtId="2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3" fontId="2" fillId="0" borderId="1" xfId="1" applyNumberFormat="1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/>
    </xf>
    <xf numFmtId="37" fontId="0" fillId="0" borderId="1" xfId="0" applyNumberFormat="1" applyBorder="1"/>
    <xf numFmtId="37" fontId="2" fillId="0" borderId="1" xfId="0" applyNumberFormat="1" applyFont="1" applyBorder="1"/>
    <xf numFmtId="43" fontId="2" fillId="0" borderId="1" xfId="0" applyNumberFormat="1" applyFont="1" applyBorder="1"/>
    <xf numFmtId="3" fontId="2" fillId="0" borderId="1" xfId="1" applyNumberFormat="1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2" fillId="0" borderId="1" xfId="0" applyNumberFormat="1" applyFont="1" applyFill="1" applyBorder="1"/>
    <xf numFmtId="0" fontId="2" fillId="0" borderId="38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0" fillId="0" borderId="38" xfId="0" applyFont="1" applyFill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165" fontId="2" fillId="0" borderId="1" xfId="1" applyNumberFormat="1" applyFont="1" applyFill="1" applyBorder="1"/>
    <xf numFmtId="0" fontId="2" fillId="12" borderId="1" xfId="0" applyFont="1" applyFill="1" applyBorder="1" applyAlignment="1">
      <alignment wrapText="1"/>
    </xf>
    <xf numFmtId="0" fontId="0" fillId="1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wrapText="1"/>
    </xf>
    <xf numFmtId="1" fontId="10" fillId="0" borderId="0" xfId="0" applyNumberFormat="1" applyFont="1" applyFill="1" applyBorder="1"/>
    <xf numFmtId="3" fontId="0" fillId="8" borderId="0" xfId="1" applyNumberFormat="1" applyFont="1" applyFill="1"/>
    <xf numFmtId="165" fontId="2" fillId="0" borderId="0" xfId="1" applyNumberFormat="1" applyFont="1"/>
    <xf numFmtId="0" fontId="2" fillId="0" borderId="39" xfId="0" applyFont="1" applyBorder="1"/>
    <xf numFmtId="165" fontId="2" fillId="0" borderId="39" xfId="1" applyNumberFormat="1" applyFont="1" applyBorder="1"/>
    <xf numFmtId="165" fontId="2" fillId="0" borderId="0" xfId="1" applyNumberFormat="1" applyFont="1" applyBorder="1"/>
    <xf numFmtId="0" fontId="2" fillId="0" borderId="40" xfId="0" applyFont="1" applyBorder="1"/>
    <xf numFmtId="165" fontId="2" fillId="0" borderId="40" xfId="1" applyNumberFormat="1" applyFont="1" applyBorder="1"/>
    <xf numFmtId="0" fontId="2" fillId="0" borderId="38" xfId="0" applyFont="1" applyBorder="1"/>
    <xf numFmtId="165" fontId="2" fillId="0" borderId="38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cinst-my.sharepoint.com/personal/athebo_pacinst_org/Documents/Projects/SPUR/Analysis/Demand%20forecast/Urban-Water-Demand-Model/Urban%20Water%20Demand%20Model/urban_water_demand_model_1.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ibration Data"/>
      <sheetName val="About"/>
      <sheetName val="Input"/>
      <sheetName val="Parameters"/>
      <sheetName val="Population"/>
      <sheetName val="Emissions"/>
      <sheetName val="Output"/>
      <sheetName val="Scenarios"/>
      <sheetName val="Output - Simulations"/>
      <sheetName val="Ouput-HR"/>
      <sheetName val="Summ Simulations"/>
      <sheetName val="Summ NoCC"/>
      <sheetName val="Summ Emissions"/>
      <sheetName val="Summ Category"/>
      <sheetName val="Summ County"/>
      <sheetName val="Summ Cat Cnty"/>
      <sheetName val="OutputDB"/>
      <sheetName val="OutputDB (No CC)"/>
      <sheetName val="Calcs"/>
      <sheetName val="Calcs (No CC)"/>
      <sheetName val="Calcs CII"/>
      <sheetName val="Irrigation Demand"/>
      <sheetName val="Counties"/>
      <sheetName val="Grid_Cells"/>
      <sheetName val="Counties Table"/>
      <sheetName val="Jobs Forecast"/>
      <sheetName val="Manufacturing"/>
      <sheetName val="Employees"/>
      <sheetName val="Historical CA Water Use"/>
      <sheetName val="tblHelp"/>
      <sheetName val="Pop_DOF_old"/>
      <sheetName val="Pop_DOF"/>
      <sheetName val="EPA_B1"/>
      <sheetName val="EPA_B2"/>
      <sheetName val="EPA_A1"/>
      <sheetName val="EPA_A2"/>
      <sheetName val="PPIC_Low"/>
      <sheetName val="PPIC_Mid"/>
      <sheetName val="PPIC_High"/>
      <sheetName val="pop_none"/>
      <sheetName val="Households"/>
      <sheetName val="Inputs"/>
    </sheetNames>
    <sheetDataSet>
      <sheetData sheetId="0"/>
      <sheetData sheetId="1"/>
      <sheetData sheetId="2">
        <row r="41">
          <cell r="B41" t="str">
            <v>Deterministic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E17"/>
  <sheetViews>
    <sheetView tabSelected="1" workbookViewId="0">
      <selection activeCell="D1" sqref="D1"/>
    </sheetView>
  </sheetViews>
  <sheetFormatPr baseColWidth="10" defaultColWidth="28.5" defaultRowHeight="14" x14ac:dyDescent="0.15"/>
  <cols>
    <col min="1" max="1" width="28.5" style="16"/>
    <col min="2" max="2" width="11.1640625" style="16" bestFit="1" customWidth="1"/>
    <col min="3" max="3" width="31.1640625" style="16" customWidth="1"/>
    <col min="4" max="4" width="39.83203125" style="16" customWidth="1"/>
    <col min="5" max="16384" width="28.5" style="16"/>
  </cols>
  <sheetData>
    <row r="1" spans="1:5" ht="51.5" customHeight="1" x14ac:dyDescent="0.15">
      <c r="A1" s="214" t="s">
        <v>230</v>
      </c>
      <c r="B1" s="214"/>
      <c r="C1" s="214"/>
    </row>
    <row r="2" spans="1:5" ht="28.75" customHeight="1" x14ac:dyDescent="0.15">
      <c r="A2" s="215" t="s">
        <v>231</v>
      </c>
      <c r="B2" s="215"/>
      <c r="C2" s="215"/>
    </row>
    <row r="3" spans="1:5" x14ac:dyDescent="0.15">
      <c r="C3" s="2"/>
    </row>
    <row r="4" spans="1:5" ht="15" x14ac:dyDescent="0.15">
      <c r="A4" s="6" t="s">
        <v>152</v>
      </c>
      <c r="B4" s="141">
        <v>44281</v>
      </c>
    </row>
    <row r="6" spans="1:5" ht="15" x14ac:dyDescent="0.15">
      <c r="A6" s="6" t="s">
        <v>214</v>
      </c>
    </row>
    <row r="7" spans="1:5" ht="15" x14ac:dyDescent="0.15">
      <c r="A7" s="130" t="s">
        <v>213</v>
      </c>
      <c r="B7" s="130" t="s">
        <v>153</v>
      </c>
      <c r="C7" s="130" t="s">
        <v>154</v>
      </c>
      <c r="D7" s="130" t="s">
        <v>174</v>
      </c>
      <c r="E7" s="6"/>
    </row>
    <row r="8" spans="1:5" ht="30" x14ac:dyDescent="0.15">
      <c r="A8" s="193" t="s">
        <v>159</v>
      </c>
      <c r="B8" s="193" t="s">
        <v>162</v>
      </c>
      <c r="C8" s="193" t="s">
        <v>163</v>
      </c>
      <c r="D8" s="193" t="s">
        <v>220</v>
      </c>
      <c r="E8" s="6"/>
    </row>
    <row r="9" spans="1:5" ht="30" x14ac:dyDescent="0.15">
      <c r="A9" s="153" t="s">
        <v>156</v>
      </c>
      <c r="B9" s="153" t="s">
        <v>155</v>
      </c>
      <c r="C9" s="153" t="s">
        <v>215</v>
      </c>
      <c r="D9" s="153"/>
    </row>
    <row r="10" spans="1:5" ht="45" x14ac:dyDescent="0.15">
      <c r="A10" s="153" t="s">
        <v>157</v>
      </c>
      <c r="B10" s="153" t="s">
        <v>155</v>
      </c>
      <c r="C10" s="153" t="s">
        <v>216</v>
      </c>
      <c r="D10" s="153"/>
    </row>
    <row r="11" spans="1:5" ht="45" x14ac:dyDescent="0.15">
      <c r="A11" s="153" t="s">
        <v>158</v>
      </c>
      <c r="B11" s="153" t="s">
        <v>155</v>
      </c>
      <c r="C11" s="153" t="s">
        <v>217</v>
      </c>
      <c r="D11" s="153"/>
    </row>
    <row r="12" spans="1:5" ht="60" x14ac:dyDescent="0.15">
      <c r="A12" s="153" t="s">
        <v>160</v>
      </c>
      <c r="B12" s="153" t="s">
        <v>155</v>
      </c>
      <c r="C12" s="153" t="s">
        <v>218</v>
      </c>
      <c r="D12" s="153" t="s">
        <v>219</v>
      </c>
    </row>
    <row r="13" spans="1:5" ht="45" x14ac:dyDescent="0.15">
      <c r="A13" s="146" t="s">
        <v>170</v>
      </c>
      <c r="B13" s="146" t="s">
        <v>171</v>
      </c>
      <c r="C13" s="146" t="s">
        <v>172</v>
      </c>
      <c r="D13" s="146"/>
    </row>
    <row r="14" spans="1:5" ht="45" x14ac:dyDescent="0.15">
      <c r="A14" s="146" t="s">
        <v>161</v>
      </c>
      <c r="B14" s="146" t="s">
        <v>173</v>
      </c>
      <c r="C14" s="146" t="s">
        <v>225</v>
      </c>
      <c r="D14" s="146"/>
    </row>
    <row r="15" spans="1:5" ht="30" x14ac:dyDescent="0.15">
      <c r="A15" s="146" t="s">
        <v>164</v>
      </c>
      <c r="B15" s="146" t="s">
        <v>171</v>
      </c>
      <c r="C15" s="146" t="s">
        <v>168</v>
      </c>
      <c r="D15" s="146" t="s">
        <v>165</v>
      </c>
    </row>
    <row r="16" spans="1:5" ht="45" x14ac:dyDescent="0.15">
      <c r="A16" s="146" t="s">
        <v>211</v>
      </c>
      <c r="B16" s="146" t="s">
        <v>173</v>
      </c>
      <c r="C16" s="146" t="s">
        <v>223</v>
      </c>
      <c r="D16" s="146" t="s">
        <v>222</v>
      </c>
    </row>
    <row r="17" spans="1:4" ht="45" x14ac:dyDescent="0.15">
      <c r="A17" s="146" t="s">
        <v>212</v>
      </c>
      <c r="B17" s="146" t="s">
        <v>173</v>
      </c>
      <c r="C17" s="146" t="s">
        <v>224</v>
      </c>
      <c r="D17" s="146"/>
    </row>
  </sheetData>
  <mergeCells count="2">
    <mergeCell ref="A1:C1"/>
    <mergeCell ref="A2:C2"/>
  </mergeCells>
  <phoneticPr fontId="9" type="noConversion"/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9" tint="0.39997558519241921"/>
  </sheetPr>
  <dimension ref="A2:L74"/>
  <sheetViews>
    <sheetView workbookViewId="0">
      <selection activeCell="B24" sqref="B24"/>
    </sheetView>
  </sheetViews>
  <sheetFormatPr baseColWidth="10" defaultColWidth="8.83203125" defaultRowHeight="14" x14ac:dyDescent="0.15"/>
  <cols>
    <col min="1" max="1" width="15.33203125" customWidth="1"/>
    <col min="2" max="5" width="11.33203125" customWidth="1"/>
    <col min="6" max="6" width="16.6640625" customWidth="1"/>
    <col min="7" max="12" width="11.33203125" customWidth="1"/>
  </cols>
  <sheetData>
    <row r="2" spans="1:12" x14ac:dyDescent="0.15">
      <c r="A2" s="10"/>
      <c r="B2" s="10" t="s">
        <v>166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15">
      <c r="A3" s="10" t="s">
        <v>19</v>
      </c>
      <c r="B3" s="10">
        <v>0</v>
      </c>
      <c r="C3" s="10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8</v>
      </c>
      <c r="J3" s="10">
        <v>14</v>
      </c>
      <c r="K3" s="10">
        <v>15</v>
      </c>
      <c r="L3" s="10" t="s">
        <v>20</v>
      </c>
    </row>
    <row r="4" spans="1:12" x14ac:dyDescent="0.15">
      <c r="A4" s="129" t="s">
        <v>17</v>
      </c>
      <c r="B4" s="24">
        <v>70.659634215699995</v>
      </c>
      <c r="C4" s="24">
        <v>101.405127392</v>
      </c>
      <c r="D4" s="10"/>
      <c r="E4" s="10"/>
      <c r="F4" s="10"/>
      <c r="G4" s="10"/>
      <c r="H4" s="24">
        <v>267.00750301900001</v>
      </c>
      <c r="I4" s="24">
        <v>288.08701532700002</v>
      </c>
      <c r="J4" s="24">
        <v>461.70164807200001</v>
      </c>
      <c r="K4" s="10"/>
      <c r="L4" s="10">
        <f>SUM(B4:K4)</f>
        <v>1188.8609280257001</v>
      </c>
    </row>
    <row r="5" spans="1:12" x14ac:dyDescent="0.15">
      <c r="A5" s="129" t="s">
        <v>21</v>
      </c>
      <c r="B5" s="24">
        <v>38.137581965499997</v>
      </c>
      <c r="C5" s="24">
        <v>35.252655093500003</v>
      </c>
      <c r="D5" s="24">
        <v>69.330760501</v>
      </c>
      <c r="E5" s="10"/>
      <c r="F5" s="10"/>
      <c r="G5" s="10"/>
      <c r="H5" s="10"/>
      <c r="I5" s="24">
        <v>556.14975489699998</v>
      </c>
      <c r="J5" s="24">
        <v>525.70244717699995</v>
      </c>
      <c r="K5" s="10"/>
      <c r="L5" s="10">
        <f t="shared" ref="L5:L12" si="0">SUM(B5:K5)</f>
        <v>1224.573199634</v>
      </c>
    </row>
    <row r="6" spans="1:12" x14ac:dyDescent="0.15">
      <c r="A6" s="129" t="s">
        <v>22</v>
      </c>
      <c r="B6" s="24">
        <v>131.60799559700001</v>
      </c>
      <c r="C6" s="24">
        <v>231.78433226600001</v>
      </c>
      <c r="D6" s="10"/>
      <c r="E6" s="10"/>
      <c r="F6" s="24">
        <v>374.72818365199998</v>
      </c>
      <c r="G6" s="24">
        <v>111.548412091</v>
      </c>
      <c r="H6" s="10"/>
      <c r="I6" s="10"/>
      <c r="J6" s="10"/>
      <c r="K6" s="10"/>
      <c r="L6" s="10">
        <f t="shared" si="0"/>
        <v>849.66892360600002</v>
      </c>
    </row>
    <row r="7" spans="1:12" x14ac:dyDescent="0.15">
      <c r="A7" s="129" t="s">
        <v>23</v>
      </c>
      <c r="B7" s="24">
        <v>0.51653171941099996</v>
      </c>
      <c r="C7" s="10"/>
      <c r="D7" s="24">
        <v>18.484987302899999</v>
      </c>
      <c r="E7" s="10"/>
      <c r="F7" s="10"/>
      <c r="G7" s="24">
        <v>132.15891526199999</v>
      </c>
      <c r="H7" s="10"/>
      <c r="I7" s="24">
        <v>1138.35304236</v>
      </c>
      <c r="J7" s="10"/>
      <c r="K7" s="10"/>
      <c r="L7" s="10">
        <f t="shared" si="0"/>
        <v>1289.5134766443109</v>
      </c>
    </row>
    <row r="8" spans="1:12" x14ac:dyDescent="0.15">
      <c r="A8" s="129" t="s">
        <v>24</v>
      </c>
      <c r="B8" s="24">
        <v>12.9853645672</v>
      </c>
      <c r="C8" s="24">
        <v>13.399388534</v>
      </c>
      <c r="D8" s="24">
        <v>49.547512759299998</v>
      </c>
      <c r="E8" s="10"/>
      <c r="F8" s="10"/>
      <c r="G8" s="10"/>
      <c r="H8" s="10"/>
      <c r="I8" s="10"/>
      <c r="J8" s="10"/>
      <c r="K8" s="10"/>
      <c r="L8" s="10">
        <f t="shared" si="0"/>
        <v>75.932265860499996</v>
      </c>
    </row>
    <row r="9" spans="1:12" x14ac:dyDescent="0.15">
      <c r="A9" s="129" t="s">
        <v>25</v>
      </c>
      <c r="B9" s="24">
        <v>97.7443029298</v>
      </c>
      <c r="C9" s="24">
        <v>106.82862722599999</v>
      </c>
      <c r="D9" s="24">
        <v>66.826987488699999</v>
      </c>
      <c r="E9" s="24">
        <v>286.76906773500002</v>
      </c>
      <c r="F9" s="10"/>
      <c r="G9" s="10"/>
      <c r="H9" s="24">
        <v>115.588187533</v>
      </c>
      <c r="I9" s="24">
        <v>51.633556260299997</v>
      </c>
      <c r="J9" s="10"/>
      <c r="K9" s="10"/>
      <c r="L9" s="10">
        <f t="shared" si="0"/>
        <v>725.39072917280009</v>
      </c>
    </row>
    <row r="10" spans="1:12" x14ac:dyDescent="0.15">
      <c r="A10" s="129" t="s">
        <v>26</v>
      </c>
      <c r="B10" s="24">
        <v>0.36416614414199999</v>
      </c>
      <c r="C10" s="10"/>
      <c r="D10" s="10"/>
      <c r="E10" s="24">
        <v>136.57848643400001</v>
      </c>
      <c r="F10" s="10"/>
      <c r="G10" s="10"/>
      <c r="H10" s="24">
        <v>40.561494005599997</v>
      </c>
      <c r="I10" s="24">
        <v>1209.8530607499999</v>
      </c>
      <c r="J10" s="24">
        <v>664.53656285600005</v>
      </c>
      <c r="K10" s="10"/>
      <c r="L10" s="10">
        <f t="shared" si="0"/>
        <v>2051.8937701897421</v>
      </c>
    </row>
    <row r="11" spans="1:12" x14ac:dyDescent="0.15">
      <c r="A11" s="129" t="s">
        <v>27</v>
      </c>
      <c r="B11" s="24">
        <v>118.57653632</v>
      </c>
      <c r="C11" s="10"/>
      <c r="D11" s="24">
        <v>29.117375041100001</v>
      </c>
      <c r="E11" s="10"/>
      <c r="F11" s="10"/>
      <c r="G11" s="24">
        <v>0.81338219086399999</v>
      </c>
      <c r="H11" s="10"/>
      <c r="I11" s="24">
        <v>493.10494914399999</v>
      </c>
      <c r="J11" s="24">
        <v>804.17048635499998</v>
      </c>
      <c r="K11" s="10"/>
      <c r="L11" s="10">
        <f t="shared" si="0"/>
        <v>1445.782729050964</v>
      </c>
    </row>
    <row r="12" spans="1:12" x14ac:dyDescent="0.15">
      <c r="A12" s="129" t="s">
        <v>28</v>
      </c>
      <c r="B12" s="24">
        <v>84.0428824185</v>
      </c>
      <c r="C12" s="24">
        <v>167.70511322900001</v>
      </c>
      <c r="D12" s="24">
        <v>6.5449216869100005E-2</v>
      </c>
      <c r="E12" s="10"/>
      <c r="F12" s="24">
        <v>1039.47520504</v>
      </c>
      <c r="G12" s="24">
        <v>591.00345188400001</v>
      </c>
      <c r="H12" s="10"/>
      <c r="I12" s="24">
        <v>719.804215269</v>
      </c>
      <c r="J12" s="10"/>
      <c r="K12" s="10"/>
      <c r="L12" s="10">
        <f t="shared" si="0"/>
        <v>2602.0963170573691</v>
      </c>
    </row>
    <row r="13" spans="1:12" x14ac:dyDescent="0.15">
      <c r="A13" s="129" t="s">
        <v>20</v>
      </c>
      <c r="B13" s="10">
        <f>SUM(B4:B12)</f>
        <v>554.634995877253</v>
      </c>
      <c r="C13" s="10">
        <f t="shared" ref="C13:K13" si="1">SUM(C4:C12)</f>
        <v>656.37524374050008</v>
      </c>
      <c r="D13" s="10">
        <f t="shared" si="1"/>
        <v>233.37307230986906</v>
      </c>
      <c r="E13" s="10">
        <f t="shared" si="1"/>
        <v>423.34755416900003</v>
      </c>
      <c r="F13" s="10">
        <f t="shared" si="1"/>
        <v>1414.2033886919999</v>
      </c>
      <c r="G13" s="10">
        <f t="shared" si="1"/>
        <v>835.52416142786399</v>
      </c>
      <c r="H13" s="10">
        <f t="shared" si="1"/>
        <v>423.15718455759998</v>
      </c>
      <c r="I13" s="10">
        <f t="shared" si="1"/>
        <v>4456.9855940072994</v>
      </c>
      <c r="J13" s="10">
        <f t="shared" si="1"/>
        <v>2456.1111444600001</v>
      </c>
      <c r="K13" s="10">
        <f t="shared" si="1"/>
        <v>0</v>
      </c>
      <c r="L13" s="10">
        <f>SUM(L4:L12)</f>
        <v>11453.712339241387</v>
      </c>
    </row>
    <row r="16" spans="1:12" x14ac:dyDescent="0.15">
      <c r="A16" s="10"/>
      <c r="B16" s="10" t="s">
        <v>18</v>
      </c>
      <c r="C16" s="10" t="s">
        <v>29</v>
      </c>
      <c r="D16" s="10"/>
      <c r="E16" s="10"/>
      <c r="F16" s="10"/>
      <c r="G16" s="10"/>
      <c r="H16" s="10"/>
      <c r="I16" s="10"/>
      <c r="J16" s="10"/>
      <c r="K16" s="10"/>
    </row>
    <row r="17" spans="1:11" x14ac:dyDescent="0.15">
      <c r="A17" s="10"/>
      <c r="B17" s="10">
        <v>0</v>
      </c>
      <c r="C17" s="10">
        <v>1</v>
      </c>
      <c r="D17" s="10">
        <v>2</v>
      </c>
      <c r="E17" s="10">
        <v>3</v>
      </c>
      <c r="F17" s="10">
        <v>4</v>
      </c>
      <c r="G17" s="10">
        <v>5</v>
      </c>
      <c r="H17" s="10">
        <v>6</v>
      </c>
      <c r="I17" s="10">
        <v>8</v>
      </c>
      <c r="J17" s="10">
        <v>14</v>
      </c>
      <c r="K17" s="10">
        <v>15</v>
      </c>
    </row>
    <row r="18" spans="1:11" x14ac:dyDescent="0.15">
      <c r="A18" s="10" t="s">
        <v>30</v>
      </c>
      <c r="B18" s="10"/>
      <c r="C18" s="10">
        <v>32.9</v>
      </c>
      <c r="D18" s="10">
        <v>39</v>
      </c>
      <c r="E18" s="10">
        <v>46.3</v>
      </c>
      <c r="F18" s="10">
        <v>46.6</v>
      </c>
      <c r="G18" s="10">
        <v>43.9</v>
      </c>
      <c r="H18" s="10">
        <v>49.7</v>
      </c>
      <c r="I18" s="10">
        <v>49.4</v>
      </c>
      <c r="J18" s="10">
        <v>57</v>
      </c>
      <c r="K18" s="10">
        <v>57.9</v>
      </c>
    </row>
    <row r="19" spans="1:11" x14ac:dyDescent="0.15">
      <c r="A19" s="10" t="s">
        <v>31</v>
      </c>
      <c r="B19" s="10"/>
      <c r="C19" s="10">
        <v>4.6500000000000004</v>
      </c>
      <c r="D19" s="10">
        <v>5.0999999999999996</v>
      </c>
      <c r="E19" s="10">
        <v>5.7</v>
      </c>
      <c r="F19" s="10">
        <v>5.89</v>
      </c>
      <c r="G19" s="10">
        <v>6.51</v>
      </c>
      <c r="H19" s="10">
        <v>6.51</v>
      </c>
      <c r="I19" s="10">
        <v>7.44</v>
      </c>
      <c r="J19" s="10">
        <v>8.68</v>
      </c>
      <c r="K19" s="10">
        <v>8.68</v>
      </c>
    </row>
    <row r="20" spans="1:11" x14ac:dyDescent="0.15">
      <c r="A20" s="10" t="s">
        <v>32</v>
      </c>
      <c r="B20" s="10"/>
      <c r="C20" s="10">
        <v>0.62</v>
      </c>
      <c r="D20" s="10">
        <v>1.24</v>
      </c>
      <c r="E20" s="10">
        <v>1.86</v>
      </c>
      <c r="F20" s="10">
        <v>1.86</v>
      </c>
      <c r="G20" s="10">
        <v>0.93</v>
      </c>
      <c r="H20" s="10">
        <v>1.86</v>
      </c>
      <c r="I20" s="10">
        <v>0.93</v>
      </c>
      <c r="J20" s="10">
        <v>1.55</v>
      </c>
      <c r="K20" s="10">
        <v>1.24</v>
      </c>
    </row>
    <row r="23" spans="1:11" ht="60" x14ac:dyDescent="0.15">
      <c r="A23" s="145"/>
      <c r="B23" s="146" t="s">
        <v>209</v>
      </c>
    </row>
    <row r="24" spans="1:11" x14ac:dyDescent="0.15">
      <c r="A24" s="147" t="s">
        <v>17</v>
      </c>
      <c r="B24" s="148">
        <f>(($C4*$C$18)+($D4*$D$18)+($E4*$E$18)+($F4*$F$18)+($G4*$G$18)+($H4*$H$18)+($I4*$I$18)+($J4*$J$18)+($K4*$K$18))/$L4</f>
        <v>48.075424754192412</v>
      </c>
    </row>
    <row r="25" spans="1:11" x14ac:dyDescent="0.15">
      <c r="A25" s="147" t="s">
        <v>21</v>
      </c>
      <c r="B25" s="148">
        <f t="shared" ref="B25:B32" si="2">(($C5*$C$18)+($D5*$D$18)+($E5*$E$18)+($F5*$F$18)+($G5*$G$18)+($H5*$H$18)+($I5*$I$18)+($J5*$J$18)+($K5*$K$18))/$L5</f>
        <v>50.060338909456803</v>
      </c>
    </row>
    <row r="26" spans="1:11" x14ac:dyDescent="0.15">
      <c r="A26" s="147" t="s">
        <v>22</v>
      </c>
      <c r="B26" s="148">
        <f t="shared" si="2"/>
        <v>35.290231697862886</v>
      </c>
    </row>
    <row r="27" spans="1:11" x14ac:dyDescent="0.15">
      <c r="A27" s="147" t="s">
        <v>23</v>
      </c>
      <c r="B27" s="148">
        <f t="shared" si="2"/>
        <v>48.66744885886088</v>
      </c>
    </row>
    <row r="28" spans="1:11" x14ac:dyDescent="0.15">
      <c r="A28" s="147" t="s">
        <v>24</v>
      </c>
      <c r="B28" s="148">
        <f t="shared" si="2"/>
        <v>31.254076952494</v>
      </c>
    </row>
    <row r="29" spans="1:11" x14ac:dyDescent="0.15">
      <c r="A29" s="147" t="s">
        <v>25</v>
      </c>
      <c r="B29" s="148">
        <f t="shared" si="2"/>
        <v>38.177704332056621</v>
      </c>
    </row>
    <row r="30" spans="1:11" x14ac:dyDescent="0.15">
      <c r="A30" s="147" t="s">
        <v>26</v>
      </c>
      <c r="B30" s="148">
        <f t="shared" si="2"/>
        <v>51.652194181579837</v>
      </c>
    </row>
    <row r="31" spans="1:11" x14ac:dyDescent="0.15">
      <c r="A31" s="147" t="s">
        <v>27</v>
      </c>
      <c r="B31" s="148">
        <f t="shared" si="2"/>
        <v>49.363148335281217</v>
      </c>
    </row>
    <row r="32" spans="1:11" x14ac:dyDescent="0.15">
      <c r="A32" s="147" t="s">
        <v>28</v>
      </c>
      <c r="B32" s="148">
        <f t="shared" si="2"/>
        <v>44.373059642206385</v>
      </c>
    </row>
    <row r="33" spans="1:11" x14ac:dyDescent="0.15">
      <c r="A33" s="147" t="s">
        <v>34</v>
      </c>
      <c r="B33" s="148">
        <f>(($C13*$C$18)+($D13*$D$18)+($E13*$E$18)+($F13*$F$18)+($G13*$G$18)+($H13*$H$18)+($I13*$I$18)+($J13*$J$18)+($K13*$K$18))/$L13</f>
        <v>46.629686125238386</v>
      </c>
    </row>
    <row r="34" spans="1:11" x14ac:dyDescent="0.15">
      <c r="A34" s="142"/>
      <c r="B34" s="143"/>
    </row>
    <row r="35" spans="1:11" x14ac:dyDescent="0.15">
      <c r="A35" s="142" t="s">
        <v>167</v>
      </c>
      <c r="B35" s="74"/>
      <c r="C35" t="s">
        <v>35</v>
      </c>
    </row>
    <row r="36" spans="1:11" x14ac:dyDescent="0.15">
      <c r="A36" s="135" t="s">
        <v>18</v>
      </c>
      <c r="B36" s="144">
        <v>0</v>
      </c>
      <c r="C36" s="8">
        <v>1</v>
      </c>
      <c r="D36" s="8">
        <v>2</v>
      </c>
      <c r="E36" s="8">
        <v>3</v>
      </c>
      <c r="F36" s="8">
        <v>4</v>
      </c>
      <c r="G36" s="8">
        <v>5</v>
      </c>
      <c r="H36" s="8">
        <v>6</v>
      </c>
      <c r="I36" s="8">
        <v>8</v>
      </c>
      <c r="J36" s="8">
        <v>14</v>
      </c>
      <c r="K36" s="8">
        <v>15</v>
      </c>
    </row>
    <row r="37" spans="1:11" ht="30" x14ac:dyDescent="0.15">
      <c r="A37" s="23" t="s">
        <v>36</v>
      </c>
      <c r="B37" s="23"/>
      <c r="C37" s="24">
        <v>977.01445396099996</v>
      </c>
      <c r="D37" s="24">
        <v>630.63287086399998</v>
      </c>
      <c r="E37" s="24">
        <v>1027.88585132</v>
      </c>
      <c r="F37" s="24">
        <v>1283.29682841</v>
      </c>
      <c r="G37" s="24">
        <v>805.10732196599997</v>
      </c>
      <c r="H37" s="24">
        <v>484.72429906500003</v>
      </c>
      <c r="I37" s="24">
        <v>755.26390243900005</v>
      </c>
      <c r="J37" s="24">
        <v>471.83996212099999</v>
      </c>
      <c r="K37" s="24">
        <v>576.11111111100001</v>
      </c>
    </row>
    <row r="38" spans="1:11" x14ac:dyDescent="0.15">
      <c r="A38" s="10" t="s">
        <v>37</v>
      </c>
      <c r="B38" s="10"/>
      <c r="C38" s="24">
        <v>288.87744840699997</v>
      </c>
      <c r="D38" s="24">
        <v>106.72452149</v>
      </c>
      <c r="E38" s="24">
        <v>207.46132843800001</v>
      </c>
      <c r="F38" s="24">
        <v>253.16779460199999</v>
      </c>
      <c r="G38" s="24">
        <v>131.855040753</v>
      </c>
      <c r="H38" s="24">
        <v>87.903694478700004</v>
      </c>
      <c r="I38" s="24">
        <v>259.533564001</v>
      </c>
      <c r="J38" s="24">
        <v>99.530471358200003</v>
      </c>
      <c r="K38" s="24">
        <v>49.266721796200002</v>
      </c>
    </row>
    <row r="39" spans="1:11" ht="30" x14ac:dyDescent="0.15">
      <c r="A39" s="23" t="s">
        <v>38</v>
      </c>
      <c r="B39" s="23"/>
      <c r="C39" s="24">
        <f>C37*0.0393701</f>
        <v>38.465156753889964</v>
      </c>
      <c r="D39" s="24">
        <f t="shared" ref="D39:K40" si="3">D37*0.0393701</f>
        <v>24.828079189202764</v>
      </c>
      <c r="E39" s="24">
        <f t="shared" si="3"/>
        <v>40.467968755053533</v>
      </c>
      <c r="F39" s="24">
        <f t="shared" si="3"/>
        <v>50.52352446418454</v>
      </c>
      <c r="G39" s="24">
        <f t="shared" si="3"/>
        <v>31.697155776533613</v>
      </c>
      <c r="H39" s="24">
        <f t="shared" si="3"/>
        <v>19.083644126618957</v>
      </c>
      <c r="I39" s="24">
        <f t="shared" si="3"/>
        <v>29.734815365413674</v>
      </c>
      <c r="J39" s="24">
        <f t="shared" si="3"/>
        <v>18.576386492699982</v>
      </c>
      <c r="K39" s="24">
        <f t="shared" si="3"/>
        <v>22.68155205555118</v>
      </c>
    </row>
    <row r="40" spans="1:11" x14ac:dyDescent="0.15">
      <c r="A40" s="10" t="s">
        <v>39</v>
      </c>
      <c r="B40" s="10"/>
      <c r="C40" s="24">
        <f>C38*0.0393701</f>
        <v>11.37313403152843</v>
      </c>
      <c r="D40" s="24">
        <f t="shared" si="3"/>
        <v>4.201755083513449</v>
      </c>
      <c r="E40" s="24">
        <f t="shared" si="3"/>
        <v>8.1677732467369033</v>
      </c>
      <c r="F40" s="24">
        <f t="shared" si="3"/>
        <v>9.9672413902601988</v>
      </c>
      <c r="G40" s="24">
        <f t="shared" si="3"/>
        <v>5.1911461399496845</v>
      </c>
      <c r="H40" s="24">
        <f t="shared" si="3"/>
        <v>3.4607772419958667</v>
      </c>
      <c r="I40" s="24">
        <f t="shared" si="3"/>
        <v>10.217862368075769</v>
      </c>
      <c r="J40" s="24">
        <f t="shared" si="3"/>
        <v>3.9185246104194698</v>
      </c>
      <c r="K40" s="24">
        <f t="shared" si="3"/>
        <v>1.9396357637885737</v>
      </c>
    </row>
    <row r="43" spans="1:11" ht="75" x14ac:dyDescent="0.15">
      <c r="A43" s="145" t="s">
        <v>19</v>
      </c>
      <c r="B43" s="146" t="s">
        <v>40</v>
      </c>
      <c r="E43" s="145" t="s">
        <v>19</v>
      </c>
      <c r="F43" s="146" t="s">
        <v>208</v>
      </c>
      <c r="G43" t="s">
        <v>41</v>
      </c>
    </row>
    <row r="44" spans="1:11" x14ac:dyDescent="0.15">
      <c r="A44" s="147" t="s">
        <v>17</v>
      </c>
      <c r="B44" s="148">
        <f t="shared" ref="B44:B53" si="4">(($C4*$C$39)+($D4*$D$39)+($E4*$E$39)+($F4*$F$39)+($G4*$G$39)+($H4*$H$39)+($I4*$I$39)+($J4*$J$39)+($K4*$K$39))/$L4</f>
        <v>21.986594176128566</v>
      </c>
      <c r="E44" s="147" t="s">
        <v>17</v>
      </c>
      <c r="F44" s="148">
        <f t="shared" ref="F44:F53" si="5">B24-(0.25*B44)</f>
        <v>42.578776210160271</v>
      </c>
      <c r="G44" s="14" t="s">
        <v>42</v>
      </c>
      <c r="H44" s="14">
        <f>MAX(F44:F52)</f>
        <v>44.997297953174581</v>
      </c>
    </row>
    <row r="45" spans="1:11" x14ac:dyDescent="0.15">
      <c r="A45" s="147" t="s">
        <v>21</v>
      </c>
      <c r="B45" s="148">
        <f t="shared" si="4"/>
        <v>23.992041179090293</v>
      </c>
      <c r="E45" s="147" t="s">
        <v>21</v>
      </c>
      <c r="F45" s="148">
        <f t="shared" si="5"/>
        <v>44.062328614684233</v>
      </c>
      <c r="G45" s="14" t="s">
        <v>43</v>
      </c>
      <c r="H45" s="14">
        <f>MIN(F44:F52)</f>
        <v>25.506918182105679</v>
      </c>
    </row>
    <row r="46" spans="1:11" x14ac:dyDescent="0.15">
      <c r="A46" s="147" t="s">
        <v>22</v>
      </c>
      <c r="B46" s="148">
        <f t="shared" si="4"/>
        <v>36.936712348320654</v>
      </c>
      <c r="E46" s="147" t="s">
        <v>22</v>
      </c>
      <c r="F46" s="148">
        <f t="shared" si="5"/>
        <v>26.056053610782723</v>
      </c>
      <c r="G46" s="14" t="s">
        <v>44</v>
      </c>
      <c r="H46" s="14">
        <f>AVERAGE(F44:F52)</f>
        <v>37.141399462917349</v>
      </c>
    </row>
    <row r="47" spans="1:11" x14ac:dyDescent="0.15">
      <c r="A47" s="147" t="s">
        <v>23</v>
      </c>
      <c r="B47" s="148">
        <f t="shared" si="4"/>
        <v>29.853682559639733</v>
      </c>
      <c r="E47" s="147" t="s">
        <v>23</v>
      </c>
      <c r="F47" s="148">
        <f t="shared" si="5"/>
        <v>41.204028218950945</v>
      </c>
      <c r="G47" s="14" t="s">
        <v>45</v>
      </c>
      <c r="H47" s="14">
        <f>STDEV(F44:F52)</f>
        <v>7.958913245542294</v>
      </c>
    </row>
    <row r="48" spans="1:11" x14ac:dyDescent="0.15">
      <c r="A48" s="147" t="s">
        <v>24</v>
      </c>
      <c r="B48" s="148">
        <f t="shared" si="4"/>
        <v>22.98863508155328</v>
      </c>
      <c r="E48" s="147" t="s">
        <v>24</v>
      </c>
      <c r="F48" s="148">
        <f t="shared" si="5"/>
        <v>25.506918182105679</v>
      </c>
      <c r="G48" s="14"/>
      <c r="H48" s="14"/>
    </row>
    <row r="49" spans="1:8" x14ac:dyDescent="0.15">
      <c r="A49" s="147" t="s">
        <v>25</v>
      </c>
      <c r="B49" s="148">
        <f t="shared" si="4"/>
        <v>29.10774090629803</v>
      </c>
      <c r="E49" s="147" t="s">
        <v>25</v>
      </c>
      <c r="F49" s="148">
        <f t="shared" si="5"/>
        <v>30.900769105482112</v>
      </c>
      <c r="G49" s="14"/>
      <c r="H49" s="14"/>
    </row>
    <row r="50" spans="1:8" x14ac:dyDescent="0.15">
      <c r="A50" s="147" t="s">
        <v>26</v>
      </c>
      <c r="B50" s="148">
        <f t="shared" si="4"/>
        <v>26.619584913621015</v>
      </c>
      <c r="E50" s="147" t="s">
        <v>26</v>
      </c>
      <c r="F50" s="148">
        <f t="shared" si="5"/>
        <v>44.997297953174581</v>
      </c>
      <c r="G50" s="14"/>
      <c r="H50" s="14"/>
    </row>
    <row r="51" spans="1:8" x14ac:dyDescent="0.15">
      <c r="A51" s="147" t="s">
        <v>27</v>
      </c>
      <c r="B51" s="148">
        <f t="shared" si="4"/>
        <v>20.991865627247734</v>
      </c>
      <c r="E51" s="147" t="s">
        <v>27</v>
      </c>
      <c r="F51" s="148">
        <f t="shared" si="5"/>
        <v>44.115181928469283</v>
      </c>
      <c r="G51" s="14"/>
      <c r="H51" s="14"/>
    </row>
    <row r="52" spans="1:8" x14ac:dyDescent="0.15">
      <c r="A52" s="147" t="s">
        <v>28</v>
      </c>
      <c r="B52" s="148">
        <f t="shared" si="4"/>
        <v>38.08727319903997</v>
      </c>
      <c r="E52" s="147" t="s">
        <v>28</v>
      </c>
      <c r="F52" s="148">
        <f t="shared" si="5"/>
        <v>34.851241342446393</v>
      </c>
      <c r="G52" s="14"/>
      <c r="H52" s="14"/>
    </row>
    <row r="53" spans="1:8" x14ac:dyDescent="0.15">
      <c r="A53" s="147" t="s">
        <v>34</v>
      </c>
      <c r="B53" s="148">
        <f t="shared" si="4"/>
        <v>29.015638008815248</v>
      </c>
      <c r="E53" s="147" t="s">
        <v>34</v>
      </c>
      <c r="F53" s="148">
        <f t="shared" si="5"/>
        <v>39.375776623034575</v>
      </c>
      <c r="G53" s="14"/>
      <c r="H53" s="14"/>
    </row>
    <row r="54" spans="1:8" x14ac:dyDescent="0.15">
      <c r="E54" s="10"/>
      <c r="F54" s="10"/>
    </row>
    <row r="62" spans="1:8" x14ac:dyDescent="0.15">
      <c r="A62" s="13"/>
      <c r="B62" s="13"/>
      <c r="C62" s="13"/>
      <c r="D62" s="13"/>
      <c r="E62" s="13"/>
      <c r="F62" s="13"/>
    </row>
    <row r="63" spans="1:8" x14ac:dyDescent="0.15">
      <c r="A63" s="13"/>
      <c r="B63" s="13"/>
      <c r="C63" s="13"/>
      <c r="D63" s="13"/>
      <c r="E63" s="13"/>
      <c r="F63" s="13"/>
    </row>
    <row r="64" spans="1:8" x14ac:dyDescent="0.15">
      <c r="A64" s="17"/>
      <c r="B64" s="17"/>
      <c r="C64" s="17"/>
      <c r="D64" s="17"/>
      <c r="E64" s="17"/>
      <c r="F64" s="17"/>
    </row>
    <row r="65" spans="1:6" x14ac:dyDescent="0.15">
      <c r="A65" s="13"/>
      <c r="B65" s="13"/>
      <c r="C65" s="13"/>
      <c r="D65" s="13"/>
      <c r="E65" s="13"/>
      <c r="F65" s="13"/>
    </row>
    <row r="66" spans="1:6" x14ac:dyDescent="0.15">
      <c r="A66" s="13"/>
      <c r="B66" s="13"/>
      <c r="C66" s="13"/>
      <c r="D66" s="13"/>
      <c r="E66" s="13"/>
      <c r="F66" s="13"/>
    </row>
    <row r="67" spans="1:6" x14ac:dyDescent="0.15">
      <c r="A67" s="13"/>
      <c r="B67" s="13"/>
      <c r="C67" s="13"/>
      <c r="D67" s="13"/>
      <c r="E67" s="13"/>
      <c r="F67" s="13"/>
    </row>
    <row r="68" spans="1:6" x14ac:dyDescent="0.15">
      <c r="A68" s="14"/>
      <c r="B68" s="14"/>
      <c r="C68" s="14"/>
      <c r="D68" s="14"/>
      <c r="E68" s="14"/>
      <c r="F68" s="14"/>
    </row>
    <row r="69" spans="1:6" x14ac:dyDescent="0.15">
      <c r="A69" s="14"/>
      <c r="B69" s="14"/>
      <c r="C69" s="14"/>
      <c r="D69" s="14"/>
      <c r="E69" s="14"/>
      <c r="F69" s="14"/>
    </row>
    <row r="70" spans="1:6" x14ac:dyDescent="0.15">
      <c r="A70" s="14"/>
      <c r="B70" s="14"/>
      <c r="C70" s="14"/>
      <c r="D70" s="14"/>
      <c r="E70" s="14"/>
      <c r="F70" s="14"/>
    </row>
    <row r="71" spans="1:6" x14ac:dyDescent="0.15">
      <c r="A71" s="13"/>
      <c r="B71" s="13"/>
      <c r="C71" s="13"/>
      <c r="D71" s="13"/>
      <c r="E71" s="13"/>
      <c r="F71" s="13"/>
    </row>
    <row r="72" spans="1:6" x14ac:dyDescent="0.15">
      <c r="A72" s="13"/>
      <c r="B72" s="13"/>
      <c r="C72" s="13"/>
      <c r="D72" s="13"/>
      <c r="E72" s="13"/>
      <c r="F72" s="13"/>
    </row>
    <row r="73" spans="1:6" x14ac:dyDescent="0.15">
      <c r="A73" s="13"/>
      <c r="B73" s="13"/>
      <c r="C73" s="13"/>
      <c r="D73" s="13"/>
      <c r="E73" s="13"/>
      <c r="F73" s="13"/>
    </row>
    <row r="74" spans="1:6" x14ac:dyDescent="0.15">
      <c r="A74" s="13"/>
      <c r="B74" s="13"/>
      <c r="C74" s="13"/>
      <c r="D74" s="13"/>
      <c r="E74" s="13"/>
      <c r="F74" s="13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F26"/>
  <sheetViews>
    <sheetView workbookViewId="0">
      <selection activeCell="G32" sqref="G32"/>
    </sheetView>
  </sheetViews>
  <sheetFormatPr baseColWidth="10" defaultColWidth="8.83203125" defaultRowHeight="14" x14ac:dyDescent="0.15"/>
  <cols>
    <col min="1" max="1" width="13.83203125" customWidth="1"/>
    <col min="2" max="3" width="16.83203125" customWidth="1"/>
    <col min="4" max="5" width="13.83203125" customWidth="1"/>
    <col min="6" max="6" width="13.6640625" bestFit="1" customWidth="1"/>
    <col min="7" max="7" width="12.1640625" bestFit="1" customWidth="1"/>
  </cols>
  <sheetData>
    <row r="1" spans="1:6" ht="60" x14ac:dyDescent="0.15">
      <c r="A1" s="130" t="s">
        <v>19</v>
      </c>
      <c r="B1" s="134" t="s">
        <v>144</v>
      </c>
      <c r="C1" s="134" t="s">
        <v>143</v>
      </c>
      <c r="D1" s="134" t="s">
        <v>145</v>
      </c>
    </row>
    <row r="2" spans="1:6" x14ac:dyDescent="0.15">
      <c r="A2" s="131" t="s">
        <v>17</v>
      </c>
      <c r="B2" s="132">
        <v>5966.6178715944261</v>
      </c>
      <c r="C2" s="133">
        <v>29.675000000000001</v>
      </c>
      <c r="D2" s="132">
        <f>B2*(C2/100)</f>
        <v>1770.593853395646</v>
      </c>
    </row>
    <row r="3" spans="1:6" x14ac:dyDescent="0.15">
      <c r="A3" s="131" t="s">
        <v>21</v>
      </c>
      <c r="B3" s="132">
        <v>7937.8121034522737</v>
      </c>
      <c r="C3" s="133">
        <v>29.675000000000001</v>
      </c>
      <c r="D3" s="132">
        <f t="shared" ref="D3:D10" si="0">B3*(C3/100)</f>
        <v>2355.5457416994623</v>
      </c>
    </row>
    <row r="4" spans="1:6" x14ac:dyDescent="0.15">
      <c r="A4" s="131" t="s">
        <v>22</v>
      </c>
      <c r="B4" s="132">
        <v>8419.7914095213746</v>
      </c>
      <c r="C4" s="133">
        <v>30.25</v>
      </c>
      <c r="D4" s="132">
        <f t="shared" si="0"/>
        <v>2546.9869013802158</v>
      </c>
    </row>
    <row r="5" spans="1:6" x14ac:dyDescent="0.15">
      <c r="A5" s="131" t="s">
        <v>23</v>
      </c>
      <c r="B5" s="132">
        <v>7992.2477413550223</v>
      </c>
      <c r="C5" s="133">
        <v>30.25</v>
      </c>
      <c r="D5" s="132">
        <f t="shared" si="0"/>
        <v>2417.654941759894</v>
      </c>
    </row>
    <row r="6" spans="1:6" x14ac:dyDescent="0.15">
      <c r="A6" s="131" t="s">
        <v>24</v>
      </c>
      <c r="B6" s="132">
        <v>3470.4280385934876</v>
      </c>
      <c r="C6" s="133">
        <v>18.149999999999999</v>
      </c>
      <c r="D6" s="132">
        <f t="shared" si="0"/>
        <v>629.88268900471803</v>
      </c>
    </row>
    <row r="7" spans="1:6" x14ac:dyDescent="0.15">
      <c r="A7" s="131" t="s">
        <v>25</v>
      </c>
      <c r="B7" s="132">
        <v>6432.204065670363</v>
      </c>
      <c r="C7" s="133">
        <v>41.125</v>
      </c>
      <c r="D7" s="132">
        <f t="shared" si="0"/>
        <v>2645.2439220069368</v>
      </c>
    </row>
    <row r="8" spans="1:6" x14ac:dyDescent="0.15">
      <c r="A8" s="131" t="s">
        <v>26</v>
      </c>
      <c r="B8" s="132">
        <v>5833.6480868483814</v>
      </c>
      <c r="C8" s="133">
        <v>41.125</v>
      </c>
      <c r="D8" s="132">
        <f t="shared" si="0"/>
        <v>2399.0877757163967</v>
      </c>
    </row>
    <row r="9" spans="1:6" x14ac:dyDescent="0.15">
      <c r="A9" s="131" t="s">
        <v>27</v>
      </c>
      <c r="B9" s="132">
        <v>7561.5890413840016</v>
      </c>
      <c r="C9" s="133">
        <v>38.125</v>
      </c>
      <c r="D9" s="132">
        <f t="shared" si="0"/>
        <v>2882.8558220276504</v>
      </c>
    </row>
    <row r="10" spans="1:6" x14ac:dyDescent="0.15">
      <c r="A10" s="131" t="s">
        <v>28</v>
      </c>
      <c r="B10" s="132">
        <v>7448.5854614755344</v>
      </c>
      <c r="C10" s="133">
        <v>30.25</v>
      </c>
      <c r="D10" s="132">
        <f t="shared" si="0"/>
        <v>2253.1971020963492</v>
      </c>
    </row>
    <row r="13" spans="1:6" x14ac:dyDescent="0.15">
      <c r="A13" s="135" t="s">
        <v>98</v>
      </c>
      <c r="B13" s="8" t="s">
        <v>16</v>
      </c>
      <c r="C13" s="8" t="s">
        <v>100</v>
      </c>
      <c r="D13" s="8"/>
      <c r="E13" s="8" t="s">
        <v>101</v>
      </c>
      <c r="F13" s="8"/>
    </row>
    <row r="14" spans="1:6" ht="30" x14ac:dyDescent="0.15">
      <c r="A14" s="130" t="s">
        <v>19</v>
      </c>
      <c r="B14" s="130" t="s">
        <v>146</v>
      </c>
      <c r="C14" s="130" t="s">
        <v>147</v>
      </c>
      <c r="D14" s="130" t="s">
        <v>148</v>
      </c>
      <c r="E14" s="130" t="s">
        <v>147</v>
      </c>
      <c r="F14" s="130" t="s">
        <v>148</v>
      </c>
    </row>
    <row r="15" spans="1:6" x14ac:dyDescent="0.15">
      <c r="A15" s="129" t="s">
        <v>17</v>
      </c>
      <c r="B15" s="25">
        <v>654951067.00349092</v>
      </c>
      <c r="C15" s="136">
        <v>120031980.22643586</v>
      </c>
      <c r="D15" s="25">
        <v>774983047.22992671</v>
      </c>
      <c r="E15" s="136">
        <v>33631228.784465134</v>
      </c>
      <c r="F15" s="25">
        <v>688582295.787956</v>
      </c>
    </row>
    <row r="16" spans="1:6" x14ac:dyDescent="0.15">
      <c r="A16" s="129" t="s">
        <v>21</v>
      </c>
      <c r="B16" s="25">
        <v>745968793.35668731</v>
      </c>
      <c r="C16" s="136">
        <v>199964094.07687485</v>
      </c>
      <c r="D16" s="25">
        <v>945932887.43356216</v>
      </c>
      <c r="E16" s="136">
        <v>46159846.996562347</v>
      </c>
      <c r="F16" s="25">
        <v>792128640.35324967</v>
      </c>
    </row>
    <row r="17" spans="1:6" x14ac:dyDescent="0.15">
      <c r="A17" s="129" t="s">
        <v>22</v>
      </c>
      <c r="B17" s="25">
        <v>214265552.1182926</v>
      </c>
      <c r="C17" s="136">
        <v>43928391.427269042</v>
      </c>
      <c r="D17" s="25">
        <v>258193943.54556164</v>
      </c>
      <c r="E17" s="136">
        <v>17141341.374002323</v>
      </c>
      <c r="F17" s="25">
        <v>231406893.49229491</v>
      </c>
    </row>
    <row r="18" spans="1:6" x14ac:dyDescent="0.15">
      <c r="A18" s="129" t="s">
        <v>23</v>
      </c>
      <c r="B18" s="25">
        <v>109737759.59789377</v>
      </c>
      <c r="C18" s="136">
        <v>73674816.098708749</v>
      </c>
      <c r="D18" s="25">
        <v>183412575.69660252</v>
      </c>
      <c r="E18" s="136">
        <v>14156007.262035452</v>
      </c>
      <c r="F18" s="25">
        <v>123893766.85992923</v>
      </c>
    </row>
    <row r="19" spans="1:6" x14ac:dyDescent="0.15">
      <c r="A19" s="129" t="s">
        <v>24</v>
      </c>
      <c r="B19" s="25">
        <v>72341922.111675039</v>
      </c>
      <c r="C19" s="136">
        <v>2438759.1061056233</v>
      </c>
      <c r="D19" s="25">
        <v>74780681.217780665</v>
      </c>
      <c r="E19" s="136">
        <v>184960.78203928497</v>
      </c>
      <c r="F19" s="25">
        <v>72526882.893714324</v>
      </c>
    </row>
    <row r="20" spans="1:6" x14ac:dyDescent="0.15">
      <c r="A20" s="129" t="s">
        <v>25</v>
      </c>
      <c r="B20" s="25">
        <v>497208446.01648307</v>
      </c>
      <c r="C20" s="136">
        <v>135411894.30886063</v>
      </c>
      <c r="D20" s="25">
        <v>632620340.32534361</v>
      </c>
      <c r="E20" s="136">
        <v>47041970.665145129</v>
      </c>
      <c r="F20" s="25">
        <v>544250416.68162823</v>
      </c>
    </row>
    <row r="21" spans="1:6" x14ac:dyDescent="0.15">
      <c r="A21" s="129" t="s">
        <v>26</v>
      </c>
      <c r="B21" s="25">
        <v>1089831921.1138232</v>
      </c>
      <c r="C21" s="136">
        <v>534164411.39566088</v>
      </c>
      <c r="D21" s="25">
        <v>1623996332.5094838</v>
      </c>
      <c r="E21" s="136">
        <v>101695328.08686376</v>
      </c>
      <c r="F21" s="25">
        <v>1191527249.2006867</v>
      </c>
    </row>
    <row r="22" spans="1:6" x14ac:dyDescent="0.15">
      <c r="A22" s="129" t="s">
        <v>27</v>
      </c>
      <c r="B22" s="25">
        <v>342768598.18156415</v>
      </c>
      <c r="C22" s="136">
        <v>14844400.442833519</v>
      </c>
      <c r="D22" s="25">
        <v>357612998.62439764</v>
      </c>
      <c r="E22" s="136">
        <v>4440414.0193763832</v>
      </c>
      <c r="F22" s="25">
        <v>347209012.20094055</v>
      </c>
    </row>
    <row r="23" spans="1:6" x14ac:dyDescent="0.15">
      <c r="A23" s="129" t="s">
        <v>28</v>
      </c>
      <c r="B23" s="25">
        <v>410967904.98324621</v>
      </c>
      <c r="C23" s="136">
        <v>53685212.256095111</v>
      </c>
      <c r="D23" s="25">
        <v>464653117.23934126</v>
      </c>
      <c r="E23" s="136">
        <v>34402910.156577319</v>
      </c>
      <c r="F23" s="25">
        <v>445370815.1398235</v>
      </c>
    </row>
    <row r="24" spans="1:6" x14ac:dyDescent="0.15">
      <c r="A24" s="10"/>
      <c r="B24" s="136">
        <f>SUM(B15:B23)</f>
        <v>4138041964.4831567</v>
      </c>
      <c r="C24" s="137">
        <v>1178143959.3388441</v>
      </c>
      <c r="D24" s="137">
        <v>5316185923.8220005</v>
      </c>
      <c r="E24" s="137">
        <v>298854008.12706715</v>
      </c>
      <c r="F24" s="137">
        <v>4436895972.6102228</v>
      </c>
    </row>
    <row r="26" spans="1:6" x14ac:dyDescent="0.15">
      <c r="A26" s="194" t="s">
        <v>221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E10"/>
  <sheetViews>
    <sheetView workbookViewId="0">
      <selection activeCell="E2" sqref="E2"/>
    </sheetView>
  </sheetViews>
  <sheetFormatPr baseColWidth="10" defaultColWidth="8.83203125" defaultRowHeight="14" x14ac:dyDescent="0.15"/>
  <cols>
    <col min="1" max="1" width="13.33203125" bestFit="1" customWidth="1"/>
    <col min="2" max="2" width="17.1640625" customWidth="1"/>
    <col min="3" max="3" width="13.33203125" customWidth="1"/>
    <col min="4" max="4" width="15.5" customWidth="1"/>
    <col min="5" max="5" width="16.6640625" customWidth="1"/>
  </cols>
  <sheetData>
    <row r="1" spans="1:5" ht="58.25" customHeight="1" x14ac:dyDescent="0.15">
      <c r="A1" s="130" t="s">
        <v>19</v>
      </c>
      <c r="B1" s="138" t="s">
        <v>63</v>
      </c>
      <c r="C1" s="138" t="s">
        <v>151</v>
      </c>
      <c r="D1" s="139" t="s">
        <v>149</v>
      </c>
      <c r="E1" s="139" t="s">
        <v>150</v>
      </c>
    </row>
    <row r="2" spans="1:5" x14ac:dyDescent="0.15">
      <c r="A2" s="8" t="s">
        <v>17</v>
      </c>
      <c r="B2" s="132">
        <v>10950.000000000002</v>
      </c>
      <c r="C2" s="132">
        <v>7168.7516346990278</v>
      </c>
      <c r="D2" s="140">
        <v>4.7398441221687265E-2</v>
      </c>
      <c r="E2" s="140">
        <v>3.2586428339909997E-2</v>
      </c>
    </row>
    <row r="3" spans="1:5" x14ac:dyDescent="0.15">
      <c r="A3" s="8" t="s">
        <v>21</v>
      </c>
      <c r="B3" s="132">
        <v>7116.6666666666661</v>
      </c>
      <c r="C3" s="132">
        <v>1158.3033569262734</v>
      </c>
      <c r="D3" s="140">
        <v>6.8830014661077979E-2</v>
      </c>
      <c r="E3" s="140">
        <v>4.7320635079491108E-2</v>
      </c>
    </row>
    <row r="4" spans="1:5" x14ac:dyDescent="0.15">
      <c r="A4" s="8" t="s">
        <v>22</v>
      </c>
      <c r="B4" s="132">
        <v>583.33333333333337</v>
      </c>
      <c r="C4" s="132">
        <v>222.86019533929047</v>
      </c>
      <c r="D4" s="140">
        <v>1.5652857708160342E-2</v>
      </c>
      <c r="E4" s="140">
        <v>1.0761339674360236E-2</v>
      </c>
    </row>
    <row r="5" spans="1:5" x14ac:dyDescent="0.15">
      <c r="A5" s="8" t="s">
        <v>23</v>
      </c>
      <c r="B5" s="132">
        <v>1433.3333333333333</v>
      </c>
      <c r="C5" s="132">
        <v>320.41639575194455</v>
      </c>
      <c r="D5" s="140">
        <v>0.12800094712283841</v>
      </c>
      <c r="E5" s="140">
        <v>8.8000651146951409E-2</v>
      </c>
    </row>
    <row r="6" spans="1:5" x14ac:dyDescent="0.15">
      <c r="A6" s="8" t="s">
        <v>24</v>
      </c>
      <c r="B6" s="132">
        <v>1883.3333333333335</v>
      </c>
      <c r="C6" s="132">
        <v>449.07311951024843</v>
      </c>
      <c r="D6" s="140">
        <v>7.0199721421298567E-3</v>
      </c>
      <c r="E6" s="140">
        <v>4.8262308477142763E-3</v>
      </c>
    </row>
    <row r="7" spans="1:5" x14ac:dyDescent="0.15">
      <c r="A7" s="8" t="s">
        <v>25</v>
      </c>
      <c r="B7" s="132">
        <v>3000</v>
      </c>
      <c r="C7" s="132">
        <v>1818.7908071023446</v>
      </c>
      <c r="D7" s="140">
        <v>2.7478359054527435E-2</v>
      </c>
      <c r="E7" s="140">
        <v>1.8891371849987612E-2</v>
      </c>
    </row>
    <row r="8" spans="1:5" x14ac:dyDescent="0.15">
      <c r="A8" s="8" t="s">
        <v>26</v>
      </c>
      <c r="B8" s="132">
        <v>11283.333333333334</v>
      </c>
      <c r="C8" s="132">
        <v>8253.8273950129751</v>
      </c>
      <c r="D8" s="140">
        <v>4.3510613459858669E-2</v>
      </c>
      <c r="E8" s="140">
        <v>2.9913546753652834E-2</v>
      </c>
    </row>
    <row r="9" spans="1:5" x14ac:dyDescent="0.15">
      <c r="A9" s="8" t="s">
        <v>27</v>
      </c>
      <c r="B9" s="132">
        <v>3150</v>
      </c>
      <c r="C9" s="132">
        <v>1943.9650202614259</v>
      </c>
      <c r="D9" s="140">
        <v>9.0268157209069236E-2</v>
      </c>
      <c r="E9" s="140">
        <v>6.2059358081235097E-2</v>
      </c>
    </row>
    <row r="10" spans="1:5" x14ac:dyDescent="0.15">
      <c r="A10" s="8" t="s">
        <v>28</v>
      </c>
      <c r="B10" s="132">
        <v>2133.3333333333339</v>
      </c>
      <c r="C10" s="132">
        <v>539.13510984415086</v>
      </c>
      <c r="D10" s="140">
        <v>4.373397994476666E-2</v>
      </c>
      <c r="E10" s="140">
        <v>3.0067111212027077E-2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P8"/>
  <sheetViews>
    <sheetView topLeftCell="C1" workbookViewId="0">
      <selection activeCell="O15" sqref="O15"/>
    </sheetView>
  </sheetViews>
  <sheetFormatPr baseColWidth="10" defaultColWidth="8.83203125" defaultRowHeight="14" x14ac:dyDescent="0.15"/>
  <cols>
    <col min="2" max="8" width="11.1640625" bestFit="1" customWidth="1"/>
    <col min="9" max="9" width="12.6640625" customWidth="1"/>
    <col min="10" max="15" width="11.1640625" bestFit="1" customWidth="1"/>
  </cols>
  <sheetData>
    <row r="1" spans="1:16" x14ac:dyDescent="0.15">
      <c r="A1" s="2" t="str">
        <f>ResOutdoorSummary!A36</f>
        <v>Efficiency</v>
      </c>
      <c r="B1" s="2" t="str">
        <f>ResOutdoorSummary!B36</f>
        <v>Inefficient</v>
      </c>
      <c r="C1" s="197" t="str">
        <f>ResOutdoorSummary!F36</f>
        <v>Inefficient</v>
      </c>
      <c r="D1" s="166" t="str">
        <f>ResOutdoorSummary!I36</f>
        <v>Efficient</v>
      </c>
      <c r="E1" s="200" t="str">
        <f>ResOutdoorSummary!L36</f>
        <v>Highly Efficent</v>
      </c>
      <c r="F1" s="2" t="str">
        <f>ResOutdoorSummary!O36</f>
        <v>Inefficient</v>
      </c>
      <c r="G1" s="2" t="str">
        <f>ResOutdoorSummary!R36</f>
        <v>Efficient</v>
      </c>
      <c r="H1" s="202" t="str">
        <f>ResOutdoorSummary!U36</f>
        <v>Highly Efficent</v>
      </c>
      <c r="I1" s="202" t="str">
        <f>ResOutdoorSummary!X36</f>
        <v>Inefficient</v>
      </c>
      <c r="J1" s="197" t="str">
        <f>ResOutdoorSummary!AB36</f>
        <v>Inefficient</v>
      </c>
      <c r="K1" s="166" t="str">
        <f>ResOutdoorSummary!AE36</f>
        <v>Efficient</v>
      </c>
      <c r="L1" s="200" t="str">
        <f>ResOutdoorSummary!AH36</f>
        <v>Highly Efficent</v>
      </c>
      <c r="M1" s="197" t="str">
        <f>ResOutdoorSummary!AK36</f>
        <v>Inefficient</v>
      </c>
      <c r="N1" s="166" t="str">
        <f>ResOutdoorSummary!AN36</f>
        <v>Efficient</v>
      </c>
      <c r="O1" s="200" t="str">
        <f>ResOutdoorSummary!AQ36</f>
        <v>Highly Efficent</v>
      </c>
    </row>
    <row r="2" spans="1:16" x14ac:dyDescent="0.15">
      <c r="A2" s="2" t="str">
        <f>ResOutdoorSummary!A37</f>
        <v>Scenario</v>
      </c>
      <c r="B2" s="2" t="str">
        <f>ResOutdoorSummary!B37</f>
        <v>Baseline-DWR</v>
      </c>
      <c r="C2" s="197" t="str">
        <f>ResOutdoorSummary!F37</f>
        <v>BAU</v>
      </c>
      <c r="D2" s="166" t="str">
        <f>ResOutdoorSummary!I37</f>
        <v>BAU</v>
      </c>
      <c r="E2" s="200" t="str">
        <f>ResOutdoorSummary!L37</f>
        <v>BAU</v>
      </c>
      <c r="F2" s="2" t="str">
        <f>ResOutdoorSummary!O37</f>
        <v>SPUR</v>
      </c>
      <c r="G2" s="2" t="str">
        <f>ResOutdoorSummary!R37</f>
        <v>SPUR</v>
      </c>
      <c r="H2" s="202" t="str">
        <f>ResOutdoorSummary!U37</f>
        <v>SPUR</v>
      </c>
      <c r="I2" s="202" t="str">
        <f>ResOutdoorSummary!X37</f>
        <v>Baseline-DWR</v>
      </c>
      <c r="J2" s="197" t="str">
        <f>ResOutdoorSummary!AB37</f>
        <v>BAU</v>
      </c>
      <c r="K2" s="166" t="str">
        <f>ResOutdoorSummary!AE37</f>
        <v>BAU</v>
      </c>
      <c r="L2" s="200" t="str">
        <f>ResOutdoorSummary!AH37</f>
        <v>BAU</v>
      </c>
      <c r="M2" s="197" t="str">
        <f>ResOutdoorSummary!AK37</f>
        <v>SPUR</v>
      </c>
      <c r="N2" s="166" t="str">
        <f>ResOutdoorSummary!AN37</f>
        <v>SPUR</v>
      </c>
      <c r="O2" s="200" t="str">
        <f>ResOutdoorSummary!AQ37</f>
        <v>SPUR</v>
      </c>
    </row>
    <row r="3" spans="1:16" x14ac:dyDescent="0.15">
      <c r="A3" s="2" t="str">
        <f>ResOutdoorSummary!A39</f>
        <v>Units</v>
      </c>
      <c r="B3" s="2" t="str">
        <f>ResOutdoorSummary!B39</f>
        <v>AFY</v>
      </c>
      <c r="C3" s="197" t="str">
        <f>ResOutdoorSummary!F39</f>
        <v>AFY</v>
      </c>
      <c r="D3" s="166" t="str">
        <f>ResOutdoorSummary!I39</f>
        <v>AFY</v>
      </c>
      <c r="E3" s="200" t="str">
        <f>ResOutdoorSummary!L39</f>
        <v>AFY</v>
      </c>
      <c r="F3" s="2" t="str">
        <f>ResOutdoorSummary!O39</f>
        <v>AFY</v>
      </c>
      <c r="G3" s="2" t="str">
        <f>ResOutdoorSummary!R39</f>
        <v>AFY</v>
      </c>
      <c r="H3" s="202" t="str">
        <f>ResOutdoorSummary!U39</f>
        <v>AFY</v>
      </c>
      <c r="I3" s="202" t="str">
        <f>ResOutdoorSummary!X39</f>
        <v>MGY</v>
      </c>
      <c r="J3" s="197" t="str">
        <f>ResOutdoorSummary!AB39</f>
        <v>MGY</v>
      </c>
      <c r="K3" s="166" t="str">
        <f>ResOutdoorSummary!AE39</f>
        <v>MGY</v>
      </c>
      <c r="L3" s="200" t="str">
        <f>ResOutdoorSummary!AH39</f>
        <v>MGY</v>
      </c>
      <c r="M3" s="197" t="str">
        <f>ResOutdoorSummary!AK39</f>
        <v>MGY</v>
      </c>
      <c r="N3" s="166" t="str">
        <f>ResOutdoorSummary!AN39</f>
        <v>MGY</v>
      </c>
      <c r="O3" s="200" t="str">
        <f>ResOutdoorSummary!AQ39</f>
        <v>MGY</v>
      </c>
    </row>
    <row r="4" spans="1:16" x14ac:dyDescent="0.15">
      <c r="A4" s="2" t="str">
        <f>ResOutdoorSummary!A50</f>
        <v>Total</v>
      </c>
      <c r="B4" s="196">
        <f>ResOutdoorSummary!B50</f>
        <v>282933.33333333326</v>
      </c>
      <c r="C4" s="198">
        <f>ResOutdoorSummary!F50</f>
        <v>475859.06852754037</v>
      </c>
      <c r="D4" s="199">
        <f>ResOutdoorSummary!I50</f>
        <v>416264.7112126397</v>
      </c>
      <c r="E4" s="201">
        <f>ResOutdoorSummary!L50</f>
        <v>356670.35389773903</v>
      </c>
      <c r="F4" s="196">
        <f>ResOutdoorSummary!O50</f>
        <v>462246.52417352574</v>
      </c>
      <c r="G4" s="196">
        <f>ResOutdoorSummary!R50</f>
        <v>402652.03069798462</v>
      </c>
      <c r="H4" s="203">
        <f>ResOutdoorSummary!U50</f>
        <v>343057.5372224435</v>
      </c>
      <c r="I4" s="203">
        <f>ResOutdoorSummary!X50</f>
        <v>92194.109599999967</v>
      </c>
      <c r="J4" s="198">
        <f>ResOutdoorSummary!AB50</f>
        <v>155059.15333876756</v>
      </c>
      <c r="K4" s="199">
        <f>ResOutdoorSummary!AE50</f>
        <v>135640.27241334986</v>
      </c>
      <c r="L4" s="201">
        <f>ResOutdoorSummary!AH50</f>
        <v>116221.39148793215</v>
      </c>
      <c r="M4" s="198">
        <f>ResOutdoorSummary!AK50</f>
        <v>150623.49214846754</v>
      </c>
      <c r="N4" s="199">
        <f>ResOutdoorSummary!AN50</f>
        <v>131204.56685496899</v>
      </c>
      <c r="O4" s="201">
        <f>ResOutdoorSummary!AQ50</f>
        <v>111785.64156147045</v>
      </c>
    </row>
    <row r="5" spans="1:16" x14ac:dyDescent="0.15">
      <c r="O5" s="19">
        <f>O4-M4</f>
        <v>-38837.850586997098</v>
      </c>
      <c r="P5" t="s">
        <v>226</v>
      </c>
    </row>
    <row r="6" spans="1:16" x14ac:dyDescent="0.15">
      <c r="O6">
        <f>O5/M4</f>
        <v>-0.25784723241388635</v>
      </c>
      <c r="P6" t="s">
        <v>227</v>
      </c>
    </row>
    <row r="7" spans="1:16" x14ac:dyDescent="0.15">
      <c r="J7" s="19">
        <f t="shared" ref="J7:O7" si="0">J4-$I4</f>
        <v>62865.043738767592</v>
      </c>
      <c r="K7" s="19">
        <f t="shared" si="0"/>
        <v>43446.162813349889</v>
      </c>
      <c r="L7" s="19">
        <f t="shared" si="0"/>
        <v>24027.281887932186</v>
      </c>
      <c r="M7" s="19">
        <f t="shared" si="0"/>
        <v>58429.382548467576</v>
      </c>
      <c r="N7" s="19">
        <f t="shared" si="0"/>
        <v>39010.45725496902</v>
      </c>
      <c r="O7" s="19">
        <f t="shared" si="0"/>
        <v>19591.531961470479</v>
      </c>
      <c r="P7" t="s">
        <v>228</v>
      </c>
    </row>
    <row r="8" spans="1:16" x14ac:dyDescent="0.15">
      <c r="J8" s="19">
        <f t="shared" ref="J8:N8" si="1">$J4-J4</f>
        <v>0</v>
      </c>
      <c r="K8" s="19">
        <f t="shared" si="1"/>
        <v>19418.880925417703</v>
      </c>
      <c r="L8" s="19">
        <f t="shared" si="1"/>
        <v>38837.761850835406</v>
      </c>
      <c r="M8" s="19">
        <f t="shared" si="1"/>
        <v>4435.6611903000157</v>
      </c>
      <c r="N8" s="19">
        <f t="shared" si="1"/>
        <v>23854.586483798572</v>
      </c>
      <c r="O8" s="19">
        <f>$J4-O4</f>
        <v>43273.511777297113</v>
      </c>
      <c r="P8" t="s">
        <v>229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AQ94"/>
  <sheetViews>
    <sheetView topLeftCell="A21" zoomScale="70" zoomScaleNormal="70" workbookViewId="0">
      <pane xSplit="1" topLeftCell="S1" activePane="topRight" state="frozen"/>
      <selection pane="topRight" activeCell="AQ55" sqref="A52:AQ55"/>
    </sheetView>
  </sheetViews>
  <sheetFormatPr baseColWidth="10" defaultColWidth="8.83203125" defaultRowHeight="14" x14ac:dyDescent="0.15"/>
  <cols>
    <col min="1" max="1" width="13.5" style="2" customWidth="1"/>
    <col min="2" max="2" width="11.6640625" customWidth="1"/>
    <col min="3" max="3" width="11.83203125" customWidth="1"/>
    <col min="6" max="6" width="13.33203125" style="2" customWidth="1"/>
    <col min="7" max="7" width="9.6640625" bestFit="1" customWidth="1"/>
    <col min="9" max="9" width="11.1640625" style="2" customWidth="1"/>
    <col min="10" max="10" width="13.33203125" bestFit="1" customWidth="1"/>
    <col min="11" max="11" width="12.33203125" customWidth="1"/>
    <col min="12" max="12" width="10.83203125" style="2" customWidth="1"/>
    <col min="13" max="13" width="9.83203125" bestFit="1" customWidth="1"/>
    <col min="14" max="14" width="10.1640625" bestFit="1" customWidth="1"/>
    <col min="15" max="15" width="13.1640625" style="2" customWidth="1"/>
    <col min="16" max="16" width="13.6640625" customWidth="1"/>
    <col min="18" max="18" width="10.83203125" style="2" customWidth="1"/>
    <col min="19" max="19" width="10.33203125" customWidth="1"/>
    <col min="20" max="20" width="13.83203125" customWidth="1"/>
    <col min="21" max="21" width="10.83203125" style="2" customWidth="1"/>
    <col min="22" max="22" width="5.1640625" style="69" customWidth="1"/>
    <col min="23" max="23" width="15.33203125" style="2" customWidth="1"/>
    <col min="24" max="24" width="11" customWidth="1"/>
    <col min="25" max="25" width="11.33203125" customWidth="1"/>
    <col min="26" max="26" width="10.83203125" customWidth="1"/>
    <col min="27" max="27" width="12" customWidth="1"/>
    <col min="28" max="28" width="13.6640625" customWidth="1"/>
    <col min="37" max="37" width="11" customWidth="1"/>
  </cols>
  <sheetData>
    <row r="1" spans="1:43" ht="30" x14ac:dyDescent="0.15">
      <c r="A1" s="6" t="s">
        <v>127</v>
      </c>
      <c r="B1" s="159" t="s">
        <v>50</v>
      </c>
      <c r="C1" s="159" t="s">
        <v>50</v>
      </c>
      <c r="D1" s="57" t="s">
        <v>50</v>
      </c>
      <c r="E1" s="57" t="s">
        <v>50</v>
      </c>
      <c r="F1" s="62" t="s">
        <v>50</v>
      </c>
      <c r="G1" s="57" t="s">
        <v>50</v>
      </c>
      <c r="H1" s="57" t="s">
        <v>50</v>
      </c>
      <c r="I1" s="62" t="s">
        <v>50</v>
      </c>
      <c r="J1" s="57" t="s">
        <v>50</v>
      </c>
      <c r="K1" s="57" t="s">
        <v>50</v>
      </c>
      <c r="L1" s="62" t="s">
        <v>50</v>
      </c>
      <c r="M1" s="15" t="s">
        <v>50</v>
      </c>
      <c r="N1" s="15" t="s">
        <v>50</v>
      </c>
      <c r="O1" s="65" t="s">
        <v>50</v>
      </c>
      <c r="P1" s="15" t="s">
        <v>50</v>
      </c>
      <c r="Q1" s="15" t="s">
        <v>50</v>
      </c>
      <c r="R1" s="65" t="s">
        <v>50</v>
      </c>
      <c r="S1" s="15" t="s">
        <v>50</v>
      </c>
      <c r="T1" s="15" t="s">
        <v>50</v>
      </c>
      <c r="U1" s="65" t="s">
        <v>50</v>
      </c>
      <c r="W1" s="6" t="s">
        <v>127</v>
      </c>
      <c r="X1" s="159" t="s">
        <v>50</v>
      </c>
      <c r="Y1" s="159" t="s">
        <v>50</v>
      </c>
      <c r="Z1" s="57" t="s">
        <v>50</v>
      </c>
      <c r="AA1" s="57" t="s">
        <v>50</v>
      </c>
      <c r="AB1" s="62" t="s">
        <v>50</v>
      </c>
      <c r="AC1" s="57" t="s">
        <v>50</v>
      </c>
      <c r="AD1" s="57" t="s">
        <v>50</v>
      </c>
      <c r="AE1" s="62" t="s">
        <v>50</v>
      </c>
      <c r="AF1" s="57" t="s">
        <v>50</v>
      </c>
      <c r="AG1" s="57" t="s">
        <v>50</v>
      </c>
      <c r="AH1" s="62" t="s">
        <v>50</v>
      </c>
      <c r="AI1" s="15" t="s">
        <v>50</v>
      </c>
      <c r="AJ1" s="15" t="s">
        <v>50</v>
      </c>
      <c r="AK1" s="65" t="s">
        <v>50</v>
      </c>
      <c r="AL1" s="15" t="s">
        <v>50</v>
      </c>
      <c r="AM1" s="15" t="s">
        <v>50</v>
      </c>
      <c r="AN1" s="65" t="s">
        <v>50</v>
      </c>
      <c r="AO1" s="15" t="s">
        <v>50</v>
      </c>
      <c r="AP1" s="15" t="s">
        <v>50</v>
      </c>
      <c r="AQ1" s="65" t="s">
        <v>50</v>
      </c>
    </row>
    <row r="2" spans="1:43" ht="30" x14ac:dyDescent="0.15">
      <c r="A2" s="6" t="s">
        <v>128</v>
      </c>
      <c r="B2" s="159" t="s">
        <v>107</v>
      </c>
      <c r="C2" s="159" t="s">
        <v>107</v>
      </c>
      <c r="D2" s="57" t="s">
        <v>107</v>
      </c>
      <c r="E2" s="57" t="s">
        <v>107</v>
      </c>
      <c r="F2" s="62" t="s">
        <v>107</v>
      </c>
      <c r="G2" s="57" t="s">
        <v>121</v>
      </c>
      <c r="H2" s="57" t="s">
        <v>121</v>
      </c>
      <c r="I2" s="62" t="s">
        <v>121</v>
      </c>
      <c r="J2" s="57" t="s">
        <v>130</v>
      </c>
      <c r="K2" s="57" t="s">
        <v>130</v>
      </c>
      <c r="L2" s="62" t="s">
        <v>130</v>
      </c>
      <c r="M2" s="15" t="s">
        <v>107</v>
      </c>
      <c r="N2" s="15" t="s">
        <v>107</v>
      </c>
      <c r="O2" s="65" t="s">
        <v>107</v>
      </c>
      <c r="P2" s="15" t="s">
        <v>121</v>
      </c>
      <c r="Q2" s="15" t="s">
        <v>121</v>
      </c>
      <c r="R2" s="65" t="s">
        <v>121</v>
      </c>
      <c r="S2" s="15" t="s">
        <v>130</v>
      </c>
      <c r="T2" s="15" t="s">
        <v>130</v>
      </c>
      <c r="U2" s="65" t="s">
        <v>130</v>
      </c>
      <c r="W2" s="6" t="s">
        <v>128</v>
      </c>
      <c r="X2" s="159" t="s">
        <v>107</v>
      </c>
      <c r="Y2" s="159" t="s">
        <v>107</v>
      </c>
      <c r="Z2" s="57" t="s">
        <v>107</v>
      </c>
      <c r="AA2" s="57" t="s">
        <v>107</v>
      </c>
      <c r="AB2" s="62" t="s">
        <v>107</v>
      </c>
      <c r="AC2" s="57" t="s">
        <v>121</v>
      </c>
      <c r="AD2" s="57" t="s">
        <v>121</v>
      </c>
      <c r="AE2" s="62" t="s">
        <v>121</v>
      </c>
      <c r="AF2" s="57" t="s">
        <v>130</v>
      </c>
      <c r="AG2" s="57" t="s">
        <v>130</v>
      </c>
      <c r="AH2" s="62" t="s">
        <v>130</v>
      </c>
      <c r="AI2" s="15" t="s">
        <v>107</v>
      </c>
      <c r="AJ2" s="15" t="s">
        <v>107</v>
      </c>
      <c r="AK2" s="65" t="s">
        <v>107</v>
      </c>
      <c r="AL2" s="15" t="s">
        <v>121</v>
      </c>
      <c r="AM2" s="15" t="s">
        <v>121</v>
      </c>
      <c r="AN2" s="65" t="s">
        <v>121</v>
      </c>
      <c r="AO2" s="15" t="s">
        <v>130</v>
      </c>
      <c r="AP2" s="15" t="s">
        <v>130</v>
      </c>
      <c r="AQ2" s="65" t="s">
        <v>130</v>
      </c>
    </row>
    <row r="3" spans="1:43" ht="30" x14ac:dyDescent="0.15">
      <c r="A3" s="6" t="s">
        <v>98</v>
      </c>
      <c r="B3" s="159" t="s">
        <v>131</v>
      </c>
      <c r="C3" s="159" t="s">
        <v>136</v>
      </c>
      <c r="D3" s="57" t="s">
        <v>100</v>
      </c>
      <c r="E3" s="57" t="s">
        <v>100</v>
      </c>
      <c r="F3" s="62" t="s">
        <v>100</v>
      </c>
      <c r="G3" s="57" t="s">
        <v>100</v>
      </c>
      <c r="H3" s="57" t="s">
        <v>100</v>
      </c>
      <c r="I3" s="62" t="s">
        <v>100</v>
      </c>
      <c r="J3" s="57" t="s">
        <v>100</v>
      </c>
      <c r="K3" s="57" t="s">
        <v>100</v>
      </c>
      <c r="L3" s="62" t="s">
        <v>100</v>
      </c>
      <c r="M3" s="15" t="s">
        <v>101</v>
      </c>
      <c r="N3" s="15" t="s">
        <v>101</v>
      </c>
      <c r="O3" s="65" t="s">
        <v>101</v>
      </c>
      <c r="P3" s="15" t="s">
        <v>101</v>
      </c>
      <c r="Q3" s="15" t="s">
        <v>101</v>
      </c>
      <c r="R3" s="65" t="s">
        <v>101</v>
      </c>
      <c r="S3" s="15" t="s">
        <v>101</v>
      </c>
      <c r="T3" s="15" t="s">
        <v>101</v>
      </c>
      <c r="U3" s="65" t="s">
        <v>101</v>
      </c>
      <c r="W3" s="6" t="s">
        <v>98</v>
      </c>
      <c r="X3" s="159" t="s">
        <v>131</v>
      </c>
      <c r="Y3" s="159" t="s">
        <v>136</v>
      </c>
      <c r="Z3" s="57" t="s">
        <v>100</v>
      </c>
      <c r="AA3" s="57" t="s">
        <v>100</v>
      </c>
      <c r="AB3" s="62" t="s">
        <v>100</v>
      </c>
      <c r="AC3" s="57" t="s">
        <v>100</v>
      </c>
      <c r="AD3" s="57" t="s">
        <v>100</v>
      </c>
      <c r="AE3" s="62" t="s">
        <v>100</v>
      </c>
      <c r="AF3" s="57" t="s">
        <v>100</v>
      </c>
      <c r="AG3" s="57" t="s">
        <v>100</v>
      </c>
      <c r="AH3" s="62" t="s">
        <v>100</v>
      </c>
      <c r="AI3" s="15" t="s">
        <v>101</v>
      </c>
      <c r="AJ3" s="15" t="s">
        <v>101</v>
      </c>
      <c r="AK3" s="65" t="s">
        <v>101</v>
      </c>
      <c r="AL3" s="15" t="s">
        <v>101</v>
      </c>
      <c r="AM3" s="15" t="s">
        <v>101</v>
      </c>
      <c r="AN3" s="65" t="s">
        <v>101</v>
      </c>
      <c r="AO3" s="15" t="s">
        <v>101</v>
      </c>
      <c r="AP3" s="15" t="s">
        <v>101</v>
      </c>
      <c r="AQ3" s="65" t="s">
        <v>101</v>
      </c>
    </row>
    <row r="4" spans="1:43" ht="15" x14ac:dyDescent="0.15">
      <c r="A4" s="6" t="s">
        <v>129</v>
      </c>
      <c r="B4" s="159" t="s">
        <v>99</v>
      </c>
      <c r="C4" s="159" t="s">
        <v>99</v>
      </c>
      <c r="D4" s="57" t="s">
        <v>99</v>
      </c>
      <c r="E4" s="57" t="s">
        <v>120</v>
      </c>
      <c r="F4" s="62" t="s">
        <v>3</v>
      </c>
      <c r="G4" s="57" t="s">
        <v>99</v>
      </c>
      <c r="H4" s="57" t="s">
        <v>120</v>
      </c>
      <c r="I4" s="62" t="s">
        <v>3</v>
      </c>
      <c r="J4" s="57" t="s">
        <v>99</v>
      </c>
      <c r="K4" s="57" t="s">
        <v>120</v>
      </c>
      <c r="L4" s="62" t="s">
        <v>3</v>
      </c>
      <c r="M4" s="15" t="s">
        <v>99</v>
      </c>
      <c r="N4" s="15" t="s">
        <v>120</v>
      </c>
      <c r="O4" s="65" t="s">
        <v>3</v>
      </c>
      <c r="P4" s="15" t="s">
        <v>99</v>
      </c>
      <c r="Q4" s="15" t="s">
        <v>120</v>
      </c>
      <c r="R4" s="65" t="s">
        <v>3</v>
      </c>
      <c r="S4" s="15" t="s">
        <v>99</v>
      </c>
      <c r="T4" s="15" t="s">
        <v>120</v>
      </c>
      <c r="U4" s="65" t="s">
        <v>3</v>
      </c>
      <c r="W4" s="6" t="s">
        <v>129</v>
      </c>
      <c r="X4" s="159" t="s">
        <v>99</v>
      </c>
      <c r="Y4" s="159" t="s">
        <v>99</v>
      </c>
      <c r="Z4" s="57" t="s">
        <v>99</v>
      </c>
      <c r="AA4" s="57" t="s">
        <v>120</v>
      </c>
      <c r="AB4" s="62" t="s">
        <v>3</v>
      </c>
      <c r="AC4" s="57" t="s">
        <v>99</v>
      </c>
      <c r="AD4" s="57" t="s">
        <v>120</v>
      </c>
      <c r="AE4" s="62" t="s">
        <v>3</v>
      </c>
      <c r="AF4" s="57" t="s">
        <v>99</v>
      </c>
      <c r="AG4" s="57" t="s">
        <v>120</v>
      </c>
      <c r="AH4" s="62" t="s">
        <v>3</v>
      </c>
      <c r="AI4" s="15" t="s">
        <v>99</v>
      </c>
      <c r="AJ4" s="15" t="s">
        <v>120</v>
      </c>
      <c r="AK4" s="65" t="s">
        <v>3</v>
      </c>
      <c r="AL4" s="15" t="s">
        <v>99</v>
      </c>
      <c r="AM4" s="15" t="s">
        <v>120</v>
      </c>
      <c r="AN4" s="65" t="s">
        <v>3</v>
      </c>
      <c r="AO4" s="15" t="s">
        <v>99</v>
      </c>
      <c r="AP4" s="15" t="s">
        <v>120</v>
      </c>
      <c r="AQ4" s="65" t="s">
        <v>3</v>
      </c>
    </row>
    <row r="5" spans="1:43" ht="15" x14ac:dyDescent="0.15">
      <c r="A5" s="6" t="s">
        <v>48</v>
      </c>
      <c r="B5" s="159" t="s">
        <v>108</v>
      </c>
      <c r="C5" s="159" t="s">
        <v>108</v>
      </c>
      <c r="D5" s="57" t="s">
        <v>108</v>
      </c>
      <c r="E5" s="57" t="s">
        <v>108</v>
      </c>
      <c r="F5" s="62" t="s">
        <v>108</v>
      </c>
      <c r="G5" s="57" t="s">
        <v>108</v>
      </c>
      <c r="H5" s="57" t="s">
        <v>108</v>
      </c>
      <c r="I5" s="62" t="s">
        <v>108</v>
      </c>
      <c r="J5" s="57" t="s">
        <v>108</v>
      </c>
      <c r="K5" s="57" t="s">
        <v>108</v>
      </c>
      <c r="L5" s="62" t="s">
        <v>108</v>
      </c>
      <c r="M5" s="15" t="s">
        <v>108</v>
      </c>
      <c r="N5" s="15" t="s">
        <v>108</v>
      </c>
      <c r="O5" s="65" t="s">
        <v>108</v>
      </c>
      <c r="P5" s="15" t="s">
        <v>108</v>
      </c>
      <c r="Q5" s="15" t="s">
        <v>108</v>
      </c>
      <c r="R5" s="65" t="s">
        <v>108</v>
      </c>
      <c r="S5" s="15" t="s">
        <v>108</v>
      </c>
      <c r="T5" s="15" t="s">
        <v>108</v>
      </c>
      <c r="U5" s="65" t="s">
        <v>108</v>
      </c>
      <c r="W5" s="6" t="s">
        <v>48</v>
      </c>
      <c r="X5" s="159" t="s">
        <v>134</v>
      </c>
      <c r="Y5" s="159" t="s">
        <v>134</v>
      </c>
      <c r="Z5" s="57" t="s">
        <v>134</v>
      </c>
      <c r="AA5" s="57" t="s">
        <v>134</v>
      </c>
      <c r="AB5" s="62" t="s">
        <v>134</v>
      </c>
      <c r="AC5" s="57" t="s">
        <v>134</v>
      </c>
      <c r="AD5" s="57" t="s">
        <v>134</v>
      </c>
      <c r="AE5" s="62" t="s">
        <v>134</v>
      </c>
      <c r="AF5" s="57" t="s">
        <v>134</v>
      </c>
      <c r="AG5" s="57" t="s">
        <v>134</v>
      </c>
      <c r="AH5" s="62" t="s">
        <v>134</v>
      </c>
      <c r="AI5" s="15" t="s">
        <v>134</v>
      </c>
      <c r="AJ5" s="15" t="s">
        <v>134</v>
      </c>
      <c r="AK5" s="65" t="s">
        <v>134</v>
      </c>
      <c r="AL5" s="15" t="s">
        <v>134</v>
      </c>
      <c r="AM5" s="15" t="s">
        <v>134</v>
      </c>
      <c r="AN5" s="65" t="s">
        <v>134</v>
      </c>
      <c r="AO5" s="15" t="s">
        <v>134</v>
      </c>
      <c r="AP5" s="15" t="s">
        <v>134</v>
      </c>
      <c r="AQ5" s="65" t="s">
        <v>134</v>
      </c>
    </row>
    <row r="6" spans="1:43" s="59" customFormat="1" ht="15" x14ac:dyDescent="0.15">
      <c r="A6" s="158" t="s">
        <v>19</v>
      </c>
      <c r="B6" s="58"/>
      <c r="C6" s="58"/>
      <c r="F6" s="63"/>
      <c r="I6" s="63"/>
      <c r="L6" s="63"/>
      <c r="O6" s="63"/>
      <c r="R6" s="63"/>
      <c r="U6" s="63"/>
      <c r="V6" s="69"/>
      <c r="W6" s="63"/>
    </row>
    <row r="7" spans="1:43" x14ac:dyDescent="0.15">
      <c r="A7" s="2" t="s">
        <v>17</v>
      </c>
      <c r="B7" s="195">
        <f>SF_Outdoor_2020!B16</f>
        <v>47533.333333333328</v>
      </c>
      <c r="C7" s="60">
        <f>SF_Outdoor_2020!E29</f>
        <v>56906.46854514299</v>
      </c>
      <c r="D7" s="61">
        <f>SF_BAU_Outdoor_2070!J25</f>
        <v>56906.46854514299</v>
      </c>
      <c r="E7" s="61">
        <f>SF_BAU_Outdoor_2070!K25</f>
        <v>7170.0544670648087</v>
      </c>
      <c r="F7" s="64">
        <f>SUM(D7:E7)</f>
        <v>64076.523012207799</v>
      </c>
      <c r="G7" s="61">
        <f>SF_BAU_Outdoor_2070!J39</f>
        <v>48014.8328349644</v>
      </c>
      <c r="H7" s="61">
        <f>SF_BAU_Outdoor_2070!K39</f>
        <v>7170.0544670648087</v>
      </c>
      <c r="I7" s="64">
        <f>SUM(G7:H7)</f>
        <v>55184.887302029209</v>
      </c>
      <c r="J7" s="61">
        <f>SF_BAU_Outdoor_2070!J53</f>
        <v>39123.197124785809</v>
      </c>
      <c r="K7" s="61">
        <f>SF_BAU_Outdoor_2070!K53</f>
        <v>7170.0544670648087</v>
      </c>
      <c r="L7" s="64">
        <f>SUM(J7:K7)</f>
        <v>46293.251591850618</v>
      </c>
      <c r="M7" s="33">
        <f>SF_SPUR_Outdoor_2070!J25</f>
        <v>56906.614453328344</v>
      </c>
      <c r="N7" s="33">
        <f>SF_SPUR_Outdoor_2070!K25</f>
        <v>2008.9509479157571</v>
      </c>
      <c r="O7" s="44">
        <f>SUM(M7:N7)</f>
        <v>58915.565401244101</v>
      </c>
      <c r="P7" s="33">
        <f>SF_SPUR_Outdoor_2070!J39</f>
        <v>48014.955944995796</v>
      </c>
      <c r="Q7" s="33">
        <f>SF_SPUR_Outdoor_2070!K39</f>
        <v>2008.9509479157571</v>
      </c>
      <c r="R7" s="44">
        <f>SUM(P7:Q7)</f>
        <v>50023.906892911553</v>
      </c>
      <c r="S7" s="33">
        <f>SF_SPUR_Outdoor_2070!J53</f>
        <v>39123.297436663241</v>
      </c>
      <c r="T7" s="33">
        <f>SF_SPUR_Outdoor_2070!K53</f>
        <v>2008.9509479157571</v>
      </c>
      <c r="U7" s="44">
        <f>SUM(S7:T7)</f>
        <v>41132.248384578998</v>
      </c>
      <c r="W7" s="2" t="s">
        <v>17</v>
      </c>
      <c r="X7" s="195">
        <f>(B7*325851)/10^6</f>
        <v>15488.784199999998</v>
      </c>
      <c r="Y7" s="60">
        <f t="shared" ref="Y7:AQ16" si="0">(C7*325851)/10^6</f>
        <v>18543.02968190339</v>
      </c>
      <c r="Z7" s="61">
        <f t="shared" si="0"/>
        <v>18543.02968190339</v>
      </c>
      <c r="AA7" s="61">
        <f t="shared" si="0"/>
        <v>2336.3694181475348</v>
      </c>
      <c r="AB7" s="64">
        <f t="shared" si="0"/>
        <v>20879.399100050923</v>
      </c>
      <c r="AC7" s="61">
        <f t="shared" si="0"/>
        <v>15645.681294105983</v>
      </c>
      <c r="AD7" s="61">
        <f t="shared" si="0"/>
        <v>2336.3694181475348</v>
      </c>
      <c r="AE7" s="64">
        <f t="shared" si="0"/>
        <v>17982.05071225352</v>
      </c>
      <c r="AF7" s="61">
        <f t="shared" si="0"/>
        <v>12748.33290630858</v>
      </c>
      <c r="AG7" s="61">
        <f t="shared" si="0"/>
        <v>2336.3694181475348</v>
      </c>
      <c r="AH7" s="64">
        <f t="shared" si="0"/>
        <v>15084.702324456115</v>
      </c>
      <c r="AI7" s="33">
        <f t="shared" si="0"/>
        <v>18543.077226231493</v>
      </c>
      <c r="AJ7" s="33">
        <f t="shared" si="0"/>
        <v>654.61867532929728</v>
      </c>
      <c r="AK7" s="44">
        <f t="shared" si="0"/>
        <v>19197.69590156079</v>
      </c>
      <c r="AL7" s="33">
        <f t="shared" si="0"/>
        <v>15645.721409632826</v>
      </c>
      <c r="AM7" s="33">
        <f t="shared" si="0"/>
        <v>654.61867532929728</v>
      </c>
      <c r="AN7" s="44">
        <f t="shared" si="0"/>
        <v>16300.340084962121</v>
      </c>
      <c r="AO7" s="33">
        <f t="shared" si="0"/>
        <v>12748.365593034154</v>
      </c>
      <c r="AP7" s="33">
        <f t="shared" si="0"/>
        <v>654.61867532929728</v>
      </c>
      <c r="AQ7" s="44">
        <f t="shared" si="0"/>
        <v>13402.984268363451</v>
      </c>
    </row>
    <row r="8" spans="1:43" x14ac:dyDescent="0.15">
      <c r="A8" s="2" t="s">
        <v>21</v>
      </c>
      <c r="B8" s="195">
        <f>SF_Outdoor_2020!B17</f>
        <v>52066.666666666664</v>
      </c>
      <c r="C8" s="60">
        <f>SF_Outdoor_2020!E30</f>
        <v>67072.996855793943</v>
      </c>
      <c r="D8" s="61">
        <f>SF_BAU_Outdoor_2070!J26</f>
        <v>67072.996855793943</v>
      </c>
      <c r="E8" s="61">
        <f>SF_BAU_Outdoor_2070!K26</f>
        <v>12360.947845612924</v>
      </c>
      <c r="F8" s="64">
        <f t="shared" ref="F8:F15" si="1">SUM(D8:E8)</f>
        <v>79433.944701406872</v>
      </c>
      <c r="G8" s="61">
        <f>SF_BAU_Outdoor_2070!J40</f>
        <v>56592.84109707614</v>
      </c>
      <c r="H8" s="61">
        <f>SF_BAU_Outdoor_2070!K40</f>
        <v>12360.947845612924</v>
      </c>
      <c r="I8" s="64">
        <f t="shared" ref="I8:I15" si="2">SUM(G8:H8)</f>
        <v>68953.788942689062</v>
      </c>
      <c r="J8" s="61">
        <f>SF_BAU_Outdoor_2070!J54</f>
        <v>46112.685338358337</v>
      </c>
      <c r="K8" s="61">
        <f>SF_BAU_Outdoor_2070!K54</f>
        <v>12360.947845612924</v>
      </c>
      <c r="L8" s="64">
        <f t="shared" ref="L8:L15" si="3">SUM(J8:K8)</f>
        <v>58473.633183971258</v>
      </c>
      <c r="M8" s="33">
        <f>SF_SPUR_Outdoor_2070!J26</f>
        <v>67073.168830957889</v>
      </c>
      <c r="N8" s="33">
        <f>SF_SPUR_Outdoor_2070!K26</f>
        <v>2853.4168940968084</v>
      </c>
      <c r="O8" s="44">
        <f t="shared" ref="O8:O15" si="4">SUM(M8:N8)</f>
        <v>69926.585725054698</v>
      </c>
      <c r="P8" s="33">
        <f>SF_SPUR_Outdoor_2070!J40</f>
        <v>56592.986201120715</v>
      </c>
      <c r="Q8" s="33">
        <f>SF_SPUR_Outdoor_2070!K40</f>
        <v>2853.4168940968084</v>
      </c>
      <c r="R8" s="44">
        <f t="shared" ref="R8:R15" si="5">SUM(P8:Q8)</f>
        <v>59446.403095217524</v>
      </c>
      <c r="S8" s="33">
        <f>SF_SPUR_Outdoor_2070!J54</f>
        <v>46112.803571283548</v>
      </c>
      <c r="T8" s="33">
        <f>SF_SPUR_Outdoor_2070!K54</f>
        <v>2853.4168940968084</v>
      </c>
      <c r="U8" s="44">
        <f t="shared" ref="U8:U15" si="6">SUM(S8:T8)</f>
        <v>48966.220465380356</v>
      </c>
      <c r="W8" s="2" t="s">
        <v>21</v>
      </c>
      <c r="X8" s="195">
        <f t="shared" ref="X8:X16" si="7">(B8*325851)/10^6</f>
        <v>16965.975399999999</v>
      </c>
      <c r="Y8" s="60">
        <f t="shared" si="0"/>
        <v>21855.803098457312</v>
      </c>
      <c r="Z8" s="61">
        <f t="shared" si="0"/>
        <v>21855.803098457312</v>
      </c>
      <c r="AA8" s="61">
        <f t="shared" si="0"/>
        <v>4027.8272164408168</v>
      </c>
      <c r="AB8" s="64">
        <f t="shared" si="0"/>
        <v>25883.630314898131</v>
      </c>
      <c r="AC8" s="61">
        <f t="shared" si="0"/>
        <v>18440.833864323358</v>
      </c>
      <c r="AD8" s="61">
        <f t="shared" si="0"/>
        <v>4027.8272164408168</v>
      </c>
      <c r="AE8" s="64">
        <f t="shared" si="0"/>
        <v>22468.66108076417</v>
      </c>
      <c r="AF8" s="61">
        <f t="shared" si="0"/>
        <v>15025.864630189402</v>
      </c>
      <c r="AG8" s="61">
        <f t="shared" si="0"/>
        <v>4027.8272164408168</v>
      </c>
      <c r="AH8" s="64">
        <f t="shared" si="0"/>
        <v>19053.69184663022</v>
      </c>
      <c r="AI8" s="33">
        <f t="shared" si="0"/>
        <v>21855.859136736457</v>
      </c>
      <c r="AJ8" s="33">
        <f t="shared" si="0"/>
        <v>929.78874835833903</v>
      </c>
      <c r="AK8" s="44">
        <f t="shared" si="0"/>
        <v>22785.647885094801</v>
      </c>
      <c r="AL8" s="33">
        <f t="shared" si="0"/>
        <v>18440.881146621388</v>
      </c>
      <c r="AM8" s="33">
        <f t="shared" si="0"/>
        <v>929.78874835833903</v>
      </c>
      <c r="AN8" s="44">
        <f t="shared" si="0"/>
        <v>19370.669894979725</v>
      </c>
      <c r="AO8" s="33">
        <f t="shared" si="0"/>
        <v>15025.903156506316</v>
      </c>
      <c r="AP8" s="33">
        <f t="shared" si="0"/>
        <v>929.78874835833903</v>
      </c>
      <c r="AQ8" s="44">
        <f t="shared" si="0"/>
        <v>15955.691904864654</v>
      </c>
    </row>
    <row r="9" spans="1:43" x14ac:dyDescent="0.15">
      <c r="A9" s="2" t="s">
        <v>22</v>
      </c>
      <c r="B9" s="195">
        <f>SF_Outdoor_2020!B18</f>
        <v>7883.333333333333</v>
      </c>
      <c r="C9" s="60">
        <f>SF_Outdoor_2020!E31</f>
        <v>11392.54099160941</v>
      </c>
      <c r="D9" s="61">
        <f>SF_BAU_Outdoor_2070!J27</f>
        <v>11392.54099160941</v>
      </c>
      <c r="E9" s="61">
        <f>SF_BAU_Outdoor_2070!K27</f>
        <v>1605.7807548602277</v>
      </c>
      <c r="F9" s="64">
        <f t="shared" si="1"/>
        <v>12998.321746469639</v>
      </c>
      <c r="G9" s="61">
        <f>SF_BAU_Outdoor_2070!J41</f>
        <v>9612.4564616704392</v>
      </c>
      <c r="H9" s="61">
        <f>SF_BAU_Outdoor_2070!K41</f>
        <v>1605.7807548602277</v>
      </c>
      <c r="I9" s="64">
        <f t="shared" si="2"/>
        <v>11218.237216530666</v>
      </c>
      <c r="J9" s="61">
        <f>SF_BAU_Outdoor_2070!J55</f>
        <v>7832.371931731469</v>
      </c>
      <c r="K9" s="61">
        <f>SF_BAU_Outdoor_2070!K55</f>
        <v>1605.7807548602277</v>
      </c>
      <c r="L9" s="64">
        <f t="shared" si="3"/>
        <v>9438.1526865916967</v>
      </c>
      <c r="M9" s="33">
        <f>SF_SPUR_Outdoor_2070!J27</f>
        <v>11392.570202084513</v>
      </c>
      <c r="N9" s="33">
        <f>SF_SPUR_Outdoor_2070!K27</f>
        <v>626.59491438789621</v>
      </c>
      <c r="O9" s="44">
        <f t="shared" si="4"/>
        <v>12019.16511647241</v>
      </c>
      <c r="P9" s="33">
        <f>SF_SPUR_Outdoor_2070!J41</f>
        <v>9612.4811080088075</v>
      </c>
      <c r="Q9" s="33">
        <f>SF_SPUR_Outdoor_2070!K41</f>
        <v>626.59491438789621</v>
      </c>
      <c r="R9" s="44">
        <f t="shared" si="5"/>
        <v>10239.076022396705</v>
      </c>
      <c r="S9" s="33">
        <f>SF_SPUR_Outdoor_2070!J55</f>
        <v>7832.392013933103</v>
      </c>
      <c r="T9" s="33">
        <f>SF_SPUR_Outdoor_2070!K55</f>
        <v>626.59491438789621</v>
      </c>
      <c r="U9" s="44">
        <f t="shared" si="6"/>
        <v>8458.9869283209991</v>
      </c>
      <c r="W9" s="2" t="s">
        <v>22</v>
      </c>
      <c r="X9" s="195">
        <f t="shared" si="7"/>
        <v>2568.79205</v>
      </c>
      <c r="Y9" s="60">
        <f t="shared" si="0"/>
        <v>3712.2708746569178</v>
      </c>
      <c r="Z9" s="61">
        <f t="shared" si="0"/>
        <v>3712.2708746569178</v>
      </c>
      <c r="AA9" s="61">
        <f t="shared" si="0"/>
        <v>523.24526475196001</v>
      </c>
      <c r="AB9" s="64">
        <f t="shared" si="0"/>
        <v>4235.5161394088782</v>
      </c>
      <c r="AC9" s="61">
        <f t="shared" si="0"/>
        <v>3132.2285504917741</v>
      </c>
      <c r="AD9" s="61">
        <f t="shared" si="0"/>
        <v>523.24526475196001</v>
      </c>
      <c r="AE9" s="64">
        <f t="shared" si="0"/>
        <v>3655.473815243734</v>
      </c>
      <c r="AF9" s="61">
        <f t="shared" si="0"/>
        <v>2552.1862263266312</v>
      </c>
      <c r="AG9" s="61">
        <f t="shared" si="0"/>
        <v>523.24526475196001</v>
      </c>
      <c r="AH9" s="64">
        <f t="shared" si="0"/>
        <v>3075.4314910785911</v>
      </c>
      <c r="AI9" s="33">
        <f t="shared" si="0"/>
        <v>3712.2803929194406</v>
      </c>
      <c r="AJ9" s="33">
        <f t="shared" si="0"/>
        <v>204.17657944821036</v>
      </c>
      <c r="AK9" s="44">
        <f t="shared" si="0"/>
        <v>3916.4569723676514</v>
      </c>
      <c r="AL9" s="33">
        <f t="shared" si="0"/>
        <v>3132.2365815257776</v>
      </c>
      <c r="AM9" s="33">
        <f t="shared" si="0"/>
        <v>204.17657944821036</v>
      </c>
      <c r="AN9" s="44">
        <f t="shared" si="0"/>
        <v>3336.4131609739884</v>
      </c>
      <c r="AO9" s="33">
        <f t="shared" si="0"/>
        <v>2552.1927701321156</v>
      </c>
      <c r="AP9" s="33">
        <f t="shared" si="0"/>
        <v>204.17657944821036</v>
      </c>
      <c r="AQ9" s="44">
        <f t="shared" si="0"/>
        <v>2756.3693495803259</v>
      </c>
    </row>
    <row r="10" spans="1:43" x14ac:dyDescent="0.15">
      <c r="A10" s="2" t="s">
        <v>23</v>
      </c>
      <c r="B10" s="195">
        <f>SF_Outdoor_2020!B19</f>
        <v>5933.3333333333339</v>
      </c>
      <c r="C10" s="60">
        <f>SF_Outdoor_2020!E32</f>
        <v>9226.8906094399972</v>
      </c>
      <c r="D10" s="61">
        <f>SF_BAU_Outdoor_2070!J28</f>
        <v>9226.8906094399972</v>
      </c>
      <c r="E10" s="61">
        <f>SF_BAU_Outdoor_2070!K28</f>
        <v>4258.8372636885761</v>
      </c>
      <c r="F10" s="64">
        <f t="shared" si="1"/>
        <v>13485.727873128573</v>
      </c>
      <c r="G10" s="61">
        <f>SF_BAU_Outdoor_2070!J42</f>
        <v>7785.1889517149975</v>
      </c>
      <c r="H10" s="61">
        <f>SF_BAU_Outdoor_2070!K42</f>
        <v>4258.8372636885761</v>
      </c>
      <c r="I10" s="64">
        <f t="shared" si="2"/>
        <v>12044.026215403574</v>
      </c>
      <c r="J10" s="61">
        <f>SF_BAU_Outdoor_2070!J56</f>
        <v>6343.4872939899969</v>
      </c>
      <c r="K10" s="61">
        <f>SF_BAU_Outdoor_2070!K56</f>
        <v>4258.8372636885761</v>
      </c>
      <c r="L10" s="64">
        <f t="shared" si="3"/>
        <v>10602.324557678574</v>
      </c>
      <c r="M10" s="33">
        <f>SF_SPUR_Outdoor_2070!J28</f>
        <v>9226.9142671875197</v>
      </c>
      <c r="N10" s="33">
        <f>SF_SPUR_Outdoor_2070!K28</f>
        <v>818.30249471675018</v>
      </c>
      <c r="O10" s="44">
        <f t="shared" si="4"/>
        <v>10045.21676190427</v>
      </c>
      <c r="P10" s="33">
        <f>SF_SPUR_Outdoor_2070!J42</f>
        <v>7785.2089129394699</v>
      </c>
      <c r="Q10" s="33">
        <f>SF_SPUR_Outdoor_2070!K42</f>
        <v>818.30249471675018</v>
      </c>
      <c r="R10" s="44">
        <f t="shared" si="5"/>
        <v>8603.5114076562204</v>
      </c>
      <c r="S10" s="33">
        <f>SF_SPUR_Outdoor_2070!J56</f>
        <v>6343.5035586914191</v>
      </c>
      <c r="T10" s="33">
        <f>SF_SPUR_Outdoor_2070!K56</f>
        <v>818.30249471675018</v>
      </c>
      <c r="U10" s="44">
        <f t="shared" si="6"/>
        <v>7161.8060534081696</v>
      </c>
      <c r="W10" s="2" t="s">
        <v>23</v>
      </c>
      <c r="X10" s="195">
        <f t="shared" si="7"/>
        <v>1933.3826000000001</v>
      </c>
      <c r="Y10" s="60">
        <f t="shared" si="0"/>
        <v>3006.5915319766327</v>
      </c>
      <c r="Z10" s="61">
        <f t="shared" si="0"/>
        <v>3006.5915319766327</v>
      </c>
      <c r="AA10" s="61">
        <f t="shared" si="0"/>
        <v>1387.7463812101862</v>
      </c>
      <c r="AB10" s="64">
        <f t="shared" si="0"/>
        <v>4394.3379131868187</v>
      </c>
      <c r="AC10" s="61">
        <f t="shared" si="0"/>
        <v>2536.8116051052839</v>
      </c>
      <c r="AD10" s="61">
        <f t="shared" si="0"/>
        <v>1387.7463812101862</v>
      </c>
      <c r="AE10" s="64">
        <f t="shared" si="0"/>
        <v>3924.5579863154699</v>
      </c>
      <c r="AF10" s="61">
        <f t="shared" si="0"/>
        <v>2067.0316782339346</v>
      </c>
      <c r="AG10" s="61">
        <f t="shared" si="0"/>
        <v>1387.7463812101862</v>
      </c>
      <c r="AH10" s="64">
        <f t="shared" si="0"/>
        <v>3454.778059444121</v>
      </c>
      <c r="AI10" s="33">
        <f t="shared" si="0"/>
        <v>3006.5992408773204</v>
      </c>
      <c r="AJ10" s="33">
        <f t="shared" si="0"/>
        <v>266.64468620594778</v>
      </c>
      <c r="AK10" s="44">
        <f t="shared" si="0"/>
        <v>3273.2439270832683</v>
      </c>
      <c r="AL10" s="33">
        <f t="shared" si="0"/>
        <v>2536.8181094902393</v>
      </c>
      <c r="AM10" s="33">
        <f t="shared" si="0"/>
        <v>266.64468620594778</v>
      </c>
      <c r="AN10" s="44">
        <f t="shared" si="0"/>
        <v>2803.4627956961872</v>
      </c>
      <c r="AO10" s="33">
        <f t="shared" si="0"/>
        <v>2067.0369781031577</v>
      </c>
      <c r="AP10" s="33">
        <f t="shared" si="0"/>
        <v>266.64468620594778</v>
      </c>
      <c r="AQ10" s="44">
        <f t="shared" si="0"/>
        <v>2333.6816643091056</v>
      </c>
    </row>
    <row r="11" spans="1:43" x14ac:dyDescent="0.15">
      <c r="A11" s="2" t="s">
        <v>24</v>
      </c>
      <c r="B11" s="195">
        <f>SF_Outdoor_2020!B20</f>
        <v>4983.333333333333</v>
      </c>
      <c r="C11" s="60">
        <f>SF_Outdoor_2020!E33</f>
        <v>3765.3698366263798</v>
      </c>
      <c r="D11" s="61">
        <f>SF_BAU_Outdoor_2070!J29</f>
        <v>3765.3698366263798</v>
      </c>
      <c r="E11" s="61">
        <f>SF_BAU_Outdoor_2070!K29</f>
        <v>87.268839766135414</v>
      </c>
      <c r="F11" s="64">
        <f t="shared" si="1"/>
        <v>3852.6386763925152</v>
      </c>
      <c r="G11" s="61">
        <f>SF_BAU_Outdoor_2070!J43</f>
        <v>3177.0307996535075</v>
      </c>
      <c r="H11" s="61">
        <f>SF_BAU_Outdoor_2070!K43</f>
        <v>87.268839766135414</v>
      </c>
      <c r="I11" s="64">
        <f t="shared" si="2"/>
        <v>3264.299639419643</v>
      </c>
      <c r="J11" s="61">
        <f>SF_BAU_Outdoor_2070!J57</f>
        <v>2588.6917626806357</v>
      </c>
      <c r="K11" s="61">
        <f>SF_BAU_Outdoor_2070!K57</f>
        <v>87.268839766135414</v>
      </c>
      <c r="L11" s="64">
        <f t="shared" si="3"/>
        <v>2675.9606024467712</v>
      </c>
      <c r="M11" s="33">
        <f>SF_SPUR_Outdoor_2070!J29</f>
        <v>3765.379491034641</v>
      </c>
      <c r="N11" s="33">
        <f>SF_SPUR_Outdoor_2070!K29</f>
        <v>6.6186751273303184</v>
      </c>
      <c r="O11" s="44">
        <f t="shared" si="4"/>
        <v>3771.9981661619713</v>
      </c>
      <c r="P11" s="33">
        <f>SF_SPUR_Outdoor_2070!J43</f>
        <v>3177.0389455604782</v>
      </c>
      <c r="Q11" s="33">
        <f>SF_SPUR_Outdoor_2070!K43</f>
        <v>6.6186751273303184</v>
      </c>
      <c r="R11" s="44">
        <f t="shared" si="5"/>
        <v>3183.6576206878085</v>
      </c>
      <c r="S11" s="33">
        <f>SF_SPUR_Outdoor_2070!J57</f>
        <v>2588.6984000863154</v>
      </c>
      <c r="T11" s="33">
        <f>SF_SPUR_Outdoor_2070!K57</f>
        <v>6.6186751273303184</v>
      </c>
      <c r="U11" s="44">
        <f t="shared" si="6"/>
        <v>2595.3170752136457</v>
      </c>
      <c r="W11" s="2" t="s">
        <v>24</v>
      </c>
      <c r="X11" s="195">
        <f t="shared" si="7"/>
        <v>1623.8241499999999</v>
      </c>
      <c r="Y11" s="60">
        <f t="shared" si="0"/>
        <v>1226.9495266345425</v>
      </c>
      <c r="Z11" s="61">
        <f t="shared" si="0"/>
        <v>1226.9495266345425</v>
      </c>
      <c r="AA11" s="61">
        <f t="shared" si="0"/>
        <v>28.436638706634991</v>
      </c>
      <c r="AB11" s="64">
        <f t="shared" si="0"/>
        <v>1255.3861653411775</v>
      </c>
      <c r="AC11" s="61">
        <f t="shared" si="0"/>
        <v>1035.2386630978949</v>
      </c>
      <c r="AD11" s="61">
        <f t="shared" si="0"/>
        <v>28.436638706634991</v>
      </c>
      <c r="AE11" s="64">
        <f t="shared" si="0"/>
        <v>1063.6753018045301</v>
      </c>
      <c r="AF11" s="61">
        <f t="shared" si="0"/>
        <v>843.52779956124778</v>
      </c>
      <c r="AG11" s="61">
        <f t="shared" si="0"/>
        <v>28.436638706634991</v>
      </c>
      <c r="AH11" s="64">
        <f t="shared" si="0"/>
        <v>871.96443826788277</v>
      </c>
      <c r="AI11" s="33">
        <f t="shared" si="0"/>
        <v>1226.9526725331286</v>
      </c>
      <c r="AJ11" s="33">
        <f t="shared" si="0"/>
        <v>2.1567019089157116</v>
      </c>
      <c r="AK11" s="44">
        <f t="shared" si="0"/>
        <v>1229.1093744420446</v>
      </c>
      <c r="AL11" s="33">
        <f t="shared" si="0"/>
        <v>1035.2413174498274</v>
      </c>
      <c r="AM11" s="33">
        <f t="shared" si="0"/>
        <v>2.1567019089157116</v>
      </c>
      <c r="AN11" s="44">
        <f t="shared" si="0"/>
        <v>1037.3980193587431</v>
      </c>
      <c r="AO11" s="33">
        <f t="shared" si="0"/>
        <v>843.52996236652587</v>
      </c>
      <c r="AP11" s="33">
        <f t="shared" si="0"/>
        <v>2.1567019089157116</v>
      </c>
      <c r="AQ11" s="44">
        <f t="shared" si="0"/>
        <v>845.68666427544167</v>
      </c>
    </row>
    <row r="12" spans="1:43" x14ac:dyDescent="0.15">
      <c r="A12" s="2" t="s">
        <v>25</v>
      </c>
      <c r="B12" s="195">
        <f>SF_Outdoor_2020!B21</f>
        <v>19316.666666666668</v>
      </c>
      <c r="C12" s="60">
        <f>SF_Outdoor_2020!E34</f>
        <v>31352.154652894416</v>
      </c>
      <c r="D12" s="61">
        <f>SF_BAU_Outdoor_2070!J30</f>
        <v>31352.154652894416</v>
      </c>
      <c r="E12" s="61">
        <f>SF_BAU_Outdoor_2070!K30</f>
        <v>5870.2745232520347</v>
      </c>
      <c r="F12" s="64">
        <f t="shared" si="1"/>
        <v>37222.429176146448</v>
      </c>
      <c r="G12" s="61">
        <f>SF_BAU_Outdoor_2070!J44</f>
        <v>26453.380488379666</v>
      </c>
      <c r="H12" s="61">
        <f>SF_BAU_Outdoor_2070!K44</f>
        <v>5870.2745232520347</v>
      </c>
      <c r="I12" s="64">
        <f t="shared" si="2"/>
        <v>32323.655011631701</v>
      </c>
      <c r="J12" s="61">
        <f>SF_BAU_Outdoor_2070!J58</f>
        <v>21554.606323864911</v>
      </c>
      <c r="K12" s="61">
        <f>SF_BAU_Outdoor_2070!K58</f>
        <v>5870.2745232520347</v>
      </c>
      <c r="L12" s="64">
        <f t="shared" si="3"/>
        <v>27424.880847116947</v>
      </c>
      <c r="M12" s="33">
        <f>SF_SPUR_Outdoor_2070!J30</f>
        <v>31352.235039818948</v>
      </c>
      <c r="N12" s="33">
        <f>SF_SPUR_Outdoor_2070!K30</f>
        <v>2039.3333346039756</v>
      </c>
      <c r="O12" s="44">
        <f t="shared" si="4"/>
        <v>33391.568374422925</v>
      </c>
      <c r="P12" s="33">
        <f>SF_SPUR_Outdoor_2070!J44</f>
        <v>26453.448314847239</v>
      </c>
      <c r="Q12" s="33">
        <f>SF_SPUR_Outdoor_2070!K44</f>
        <v>2039.3333346039756</v>
      </c>
      <c r="R12" s="44">
        <f t="shared" si="5"/>
        <v>28492.781649451215</v>
      </c>
      <c r="S12" s="33">
        <f>SF_SPUR_Outdoor_2070!J58</f>
        <v>21554.66158987553</v>
      </c>
      <c r="T12" s="33">
        <f>SF_SPUR_Outdoor_2070!K58</f>
        <v>2039.3333346039756</v>
      </c>
      <c r="U12" s="44">
        <f t="shared" si="6"/>
        <v>23593.994924479506</v>
      </c>
      <c r="W12" s="2" t="s">
        <v>25</v>
      </c>
      <c r="X12" s="195">
        <f t="shared" si="7"/>
        <v>6294.3551500000003</v>
      </c>
      <c r="Y12" s="60">
        <f t="shared" si="0"/>
        <v>10216.130945800298</v>
      </c>
      <c r="Z12" s="61">
        <f t="shared" si="0"/>
        <v>10216.130945800298</v>
      </c>
      <c r="AA12" s="61">
        <f t="shared" si="0"/>
        <v>1912.8348236761988</v>
      </c>
      <c r="AB12" s="64">
        <f t="shared" si="0"/>
        <v>12128.965769476496</v>
      </c>
      <c r="AC12" s="61">
        <f t="shared" si="0"/>
        <v>8619.8604855190024</v>
      </c>
      <c r="AD12" s="61">
        <f t="shared" si="0"/>
        <v>1912.8348236761988</v>
      </c>
      <c r="AE12" s="64">
        <f t="shared" si="0"/>
        <v>10532.695309195202</v>
      </c>
      <c r="AF12" s="61">
        <f t="shared" si="0"/>
        <v>7023.590025237705</v>
      </c>
      <c r="AG12" s="61">
        <f t="shared" si="0"/>
        <v>1912.8348236761988</v>
      </c>
      <c r="AH12" s="64">
        <f t="shared" si="0"/>
        <v>8936.4248489139045</v>
      </c>
      <c r="AI12" s="33">
        <f t="shared" si="0"/>
        <v>10216.157139960045</v>
      </c>
      <c r="AJ12" s="33">
        <f t="shared" si="0"/>
        <v>664.51880641404011</v>
      </c>
      <c r="AK12" s="44">
        <f t="shared" si="0"/>
        <v>10880.675946374084</v>
      </c>
      <c r="AL12" s="33">
        <f t="shared" si="0"/>
        <v>8619.8825868412878</v>
      </c>
      <c r="AM12" s="33">
        <f t="shared" si="0"/>
        <v>664.51880641404011</v>
      </c>
      <c r="AN12" s="44">
        <f t="shared" si="0"/>
        <v>9284.401393255328</v>
      </c>
      <c r="AO12" s="33">
        <f t="shared" si="0"/>
        <v>7023.6080337225312</v>
      </c>
      <c r="AP12" s="33">
        <f t="shared" si="0"/>
        <v>664.51880641404011</v>
      </c>
      <c r="AQ12" s="44">
        <f t="shared" si="0"/>
        <v>7688.1268401365714</v>
      </c>
    </row>
    <row r="13" spans="1:43" x14ac:dyDescent="0.15">
      <c r="A13" s="2" t="s">
        <v>26</v>
      </c>
      <c r="B13" s="195">
        <f>SF_Outdoor_2020!B22</f>
        <v>67149.999999999985</v>
      </c>
      <c r="C13" s="60">
        <f>SF_Outdoor_2020!E35</f>
        <v>100070.38398783669</v>
      </c>
      <c r="D13" s="61">
        <f>SF_BAU_Outdoor_2070!J31</f>
        <v>100070.38398783669</v>
      </c>
      <c r="E13" s="61">
        <f>SF_BAU_Outdoor_2070!K31</f>
        <v>33720.475835511614</v>
      </c>
      <c r="F13" s="64">
        <f t="shared" si="1"/>
        <v>133790.85982334829</v>
      </c>
      <c r="G13" s="61">
        <f>SF_BAU_Outdoor_2070!J45</f>
        <v>84434.386489737197</v>
      </c>
      <c r="H13" s="61">
        <f>SF_BAU_Outdoor_2070!K45</f>
        <v>33720.475835511614</v>
      </c>
      <c r="I13" s="64">
        <f t="shared" si="2"/>
        <v>118154.8623252488</v>
      </c>
      <c r="J13" s="61">
        <f>SF_BAU_Outdoor_2070!J59</f>
        <v>68798.388991637708</v>
      </c>
      <c r="K13" s="61">
        <f>SF_BAU_Outdoor_2070!K59</f>
        <v>33720.475835511614</v>
      </c>
      <c r="L13" s="64">
        <f t="shared" si="3"/>
        <v>102518.86482714931</v>
      </c>
      <c r="M13" s="33">
        <f>SF_SPUR_Outdoor_2070!J31</f>
        <v>100070.64056830124</v>
      </c>
      <c r="N13" s="33">
        <f>SF_SPUR_Outdoor_2070!K31</f>
        <v>6419.7905601471066</v>
      </c>
      <c r="O13" s="44">
        <f t="shared" si="4"/>
        <v>106490.43112844834</v>
      </c>
      <c r="P13" s="33">
        <f>SF_SPUR_Outdoor_2070!J45</f>
        <v>84434.602979504154</v>
      </c>
      <c r="Q13" s="33">
        <f>SF_SPUR_Outdoor_2070!K45</f>
        <v>6419.7905601471066</v>
      </c>
      <c r="R13" s="44">
        <f t="shared" si="5"/>
        <v>90854.393539651268</v>
      </c>
      <c r="S13" s="33">
        <f>SF_SPUR_Outdoor_2070!J59</f>
        <v>68798.565390707096</v>
      </c>
      <c r="T13" s="33">
        <f>SF_SPUR_Outdoor_2070!K59</f>
        <v>6419.7905601471066</v>
      </c>
      <c r="U13" s="44">
        <f t="shared" si="6"/>
        <v>75218.355950854195</v>
      </c>
      <c r="W13" s="2" t="s">
        <v>26</v>
      </c>
      <c r="X13" s="195">
        <f t="shared" si="7"/>
        <v>21880.894649999995</v>
      </c>
      <c r="Y13" s="60">
        <f t="shared" si="0"/>
        <v>32608.034692820573</v>
      </c>
      <c r="Z13" s="61">
        <f t="shared" si="0"/>
        <v>32608.034692820573</v>
      </c>
      <c r="AA13" s="61">
        <f t="shared" si="0"/>
        <v>10987.850771477295</v>
      </c>
      <c r="AB13" s="64">
        <f t="shared" si="0"/>
        <v>43595.885464297869</v>
      </c>
      <c r="AC13" s="61">
        <f t="shared" si="0"/>
        <v>27513.029272067357</v>
      </c>
      <c r="AD13" s="61">
        <f t="shared" si="0"/>
        <v>10987.850771477295</v>
      </c>
      <c r="AE13" s="64">
        <f t="shared" si="0"/>
        <v>38500.880043544646</v>
      </c>
      <c r="AF13" s="61">
        <f t="shared" si="0"/>
        <v>22418.023851314141</v>
      </c>
      <c r="AG13" s="61">
        <f t="shared" si="0"/>
        <v>10987.850771477295</v>
      </c>
      <c r="AH13" s="64">
        <f t="shared" si="0"/>
        <v>33405.874622791431</v>
      </c>
      <c r="AI13" s="33">
        <f t="shared" si="0"/>
        <v>32608.11829982153</v>
      </c>
      <c r="AJ13" s="33">
        <f t="shared" si="0"/>
        <v>2091.8951738144947</v>
      </c>
      <c r="AK13" s="44">
        <f t="shared" si="0"/>
        <v>34700.01347363602</v>
      </c>
      <c r="AL13" s="33">
        <f t="shared" si="0"/>
        <v>27513.099815474408</v>
      </c>
      <c r="AM13" s="33">
        <f t="shared" si="0"/>
        <v>2091.8951738144947</v>
      </c>
      <c r="AN13" s="44">
        <f t="shared" si="0"/>
        <v>29604.994989288905</v>
      </c>
      <c r="AO13" s="33">
        <f t="shared" si="0"/>
        <v>22418.081331127298</v>
      </c>
      <c r="AP13" s="33">
        <f t="shared" si="0"/>
        <v>2091.8951738144947</v>
      </c>
      <c r="AQ13" s="44">
        <f t="shared" si="0"/>
        <v>24509.976504941791</v>
      </c>
    </row>
    <row r="14" spans="1:43" x14ac:dyDescent="0.15">
      <c r="A14" s="2" t="s">
        <v>27</v>
      </c>
      <c r="B14" s="195">
        <f>SF_Outdoor_2020!B23</f>
        <v>19016.666666666664</v>
      </c>
      <c r="C14" s="60">
        <f>SF_Outdoor_2020!E36</f>
        <v>30856.645379341062</v>
      </c>
      <c r="D14" s="61">
        <f>SF_BAU_Outdoor_2070!J32</f>
        <v>30856.645379341062</v>
      </c>
      <c r="E14" s="61">
        <f>SF_BAU_Outdoor_2070!K32</f>
        <v>918.71973366252882</v>
      </c>
      <c r="F14" s="64">
        <f t="shared" si="1"/>
        <v>31775.365113003591</v>
      </c>
      <c r="G14" s="61">
        <f>SF_BAU_Outdoor_2070!J46</f>
        <v>26035.294538819024</v>
      </c>
      <c r="H14" s="61">
        <f>SF_BAU_Outdoor_2070!K46</f>
        <v>918.71973366252882</v>
      </c>
      <c r="I14" s="64">
        <f t="shared" si="2"/>
        <v>26954.014272481552</v>
      </c>
      <c r="J14" s="61">
        <f>SF_BAU_Outdoor_2070!J60</f>
        <v>21213.943698296982</v>
      </c>
      <c r="K14" s="61">
        <f>SF_BAU_Outdoor_2070!K60</f>
        <v>918.71973366252882</v>
      </c>
      <c r="L14" s="64">
        <f t="shared" si="3"/>
        <v>22132.66343195951</v>
      </c>
      <c r="M14" s="33">
        <f>SF_SPUR_Outdoor_2070!J32</f>
        <v>30856.724495779818</v>
      </c>
      <c r="N14" s="33">
        <f>SF_SPUR_Outdoor_2070!K32</f>
        <v>274.81786554943108</v>
      </c>
      <c r="O14" s="44">
        <f t="shared" si="4"/>
        <v>31131.542361329248</v>
      </c>
      <c r="P14" s="33">
        <f>SF_SPUR_Outdoor_2070!J46</f>
        <v>26035.361293314221</v>
      </c>
      <c r="Q14" s="33">
        <f>SF_SPUR_Outdoor_2070!K46</f>
        <v>274.81786554943108</v>
      </c>
      <c r="R14" s="44">
        <f t="shared" si="5"/>
        <v>26310.179158863652</v>
      </c>
      <c r="S14" s="33">
        <f>SF_SPUR_Outdoor_2070!J60</f>
        <v>21213.998090848625</v>
      </c>
      <c r="T14" s="33">
        <f>SF_SPUR_Outdoor_2070!K60</f>
        <v>274.81786554943108</v>
      </c>
      <c r="U14" s="44">
        <f t="shared" si="6"/>
        <v>21488.815956398055</v>
      </c>
      <c r="W14" s="2" t="s">
        <v>27</v>
      </c>
      <c r="X14" s="195">
        <f t="shared" si="7"/>
        <v>6196.5998499999987</v>
      </c>
      <c r="Y14" s="60">
        <f t="shared" si="0"/>
        <v>10054.668753503664</v>
      </c>
      <c r="Z14" s="61">
        <f t="shared" si="0"/>
        <v>10054.668753503664</v>
      </c>
      <c r="AA14" s="61">
        <f t="shared" si="0"/>
        <v>299.36574393366868</v>
      </c>
      <c r="AB14" s="64">
        <f t="shared" si="0"/>
        <v>10354.034497437333</v>
      </c>
      <c r="AC14" s="61">
        <f t="shared" si="0"/>
        <v>8483.6267607687187</v>
      </c>
      <c r="AD14" s="61">
        <f t="shared" si="0"/>
        <v>299.36574393366868</v>
      </c>
      <c r="AE14" s="64">
        <f t="shared" si="0"/>
        <v>8782.9925047023862</v>
      </c>
      <c r="AF14" s="61">
        <f t="shared" si="0"/>
        <v>6912.5847680337693</v>
      </c>
      <c r="AG14" s="61">
        <f t="shared" si="0"/>
        <v>299.36574393366868</v>
      </c>
      <c r="AH14" s="64">
        <f t="shared" si="0"/>
        <v>7211.9505119674386</v>
      </c>
      <c r="AI14" s="33">
        <f t="shared" si="0"/>
        <v>10054.694533674348</v>
      </c>
      <c r="AJ14" s="33">
        <f t="shared" si="0"/>
        <v>89.549676307147664</v>
      </c>
      <c r="AK14" s="44">
        <f t="shared" si="0"/>
        <v>10144.244209981496</v>
      </c>
      <c r="AL14" s="33">
        <f t="shared" si="0"/>
        <v>8483.6485127877313</v>
      </c>
      <c r="AM14" s="33">
        <f t="shared" si="0"/>
        <v>89.549676307147664</v>
      </c>
      <c r="AN14" s="44">
        <f t="shared" si="0"/>
        <v>8573.1981890948809</v>
      </c>
      <c r="AO14" s="33">
        <f t="shared" si="0"/>
        <v>6912.6024919011152</v>
      </c>
      <c r="AP14" s="33">
        <f t="shared" si="0"/>
        <v>89.549676307147664</v>
      </c>
      <c r="AQ14" s="44">
        <f t="shared" si="0"/>
        <v>7002.1521682082621</v>
      </c>
    </row>
    <row r="15" spans="1:43" x14ac:dyDescent="0.15">
      <c r="A15" s="2" t="s">
        <v>28</v>
      </c>
      <c r="B15" s="195">
        <f>SF_Outdoor_2020!B24</f>
        <v>17516.666666666664</v>
      </c>
      <c r="C15" s="60">
        <f>SF_Outdoor_2020!E37</f>
        <v>29227.102623345967</v>
      </c>
      <c r="D15" s="61">
        <f>SF_BAU_Outdoor_2070!J33</f>
        <v>29227.102623345967</v>
      </c>
      <c r="E15" s="61">
        <f>SF_BAU_Outdoor_2070!K33</f>
        <v>2624.8545017643546</v>
      </c>
      <c r="F15" s="64">
        <f t="shared" si="1"/>
        <v>31851.957125110323</v>
      </c>
      <c r="G15" s="61">
        <f>SF_BAU_Outdoor_2070!J47</f>
        <v>24660.367838448161</v>
      </c>
      <c r="H15" s="61">
        <f>SF_BAU_Outdoor_2070!K47</f>
        <v>2624.8545017643546</v>
      </c>
      <c r="I15" s="64">
        <f t="shared" si="2"/>
        <v>27285.222340212516</v>
      </c>
      <c r="J15" s="61">
        <f>SF_BAU_Outdoor_2070!J61</f>
        <v>20093.633053550355</v>
      </c>
      <c r="K15" s="61">
        <f>SF_BAU_Outdoor_2070!K61</f>
        <v>2624.8545017643546</v>
      </c>
      <c r="L15" s="64">
        <f t="shared" si="3"/>
        <v>22718.48755531471</v>
      </c>
      <c r="M15" s="33">
        <f>SF_SPUR_Outdoor_2070!J33</f>
        <v>29227.177561637094</v>
      </c>
      <c r="N15" s="33">
        <f>SF_SPUR_Outdoor_2070!K33</f>
        <v>1682.0808066002699</v>
      </c>
      <c r="O15" s="44">
        <f t="shared" si="4"/>
        <v>30909.258368237362</v>
      </c>
      <c r="P15" s="33">
        <f>SF_SPUR_Outdoor_2070!J47</f>
        <v>24660.4310676313</v>
      </c>
      <c r="Q15" s="33">
        <f>SF_SPUR_Outdoor_2070!K47</f>
        <v>1682.0808066002699</v>
      </c>
      <c r="R15" s="44">
        <f t="shared" si="5"/>
        <v>26342.511874231568</v>
      </c>
      <c r="S15" s="33">
        <f>SF_SPUR_Outdoor_2070!J61</f>
        <v>20093.684573625505</v>
      </c>
      <c r="T15" s="33">
        <f>SF_SPUR_Outdoor_2070!K61</f>
        <v>1682.0808066002699</v>
      </c>
      <c r="U15" s="44">
        <f t="shared" si="6"/>
        <v>21775.765380225774</v>
      </c>
      <c r="W15" s="2" t="s">
        <v>28</v>
      </c>
      <c r="X15" s="195">
        <f t="shared" si="7"/>
        <v>5707.8233499999988</v>
      </c>
      <c r="Y15" s="60">
        <f t="shared" si="0"/>
        <v>9523.6806169199062</v>
      </c>
      <c r="Z15" s="61">
        <f t="shared" si="0"/>
        <v>9523.6806169199062</v>
      </c>
      <c r="AA15" s="61">
        <f t="shared" si="0"/>
        <v>855.31146425441671</v>
      </c>
      <c r="AB15" s="64">
        <f t="shared" si="0"/>
        <v>10378.992081174323</v>
      </c>
      <c r="AC15" s="61">
        <f t="shared" si="0"/>
        <v>8035.6055205261719</v>
      </c>
      <c r="AD15" s="61">
        <f t="shared" si="0"/>
        <v>855.31146425441671</v>
      </c>
      <c r="AE15" s="64">
        <f t="shared" si="0"/>
        <v>8890.9169847805879</v>
      </c>
      <c r="AF15" s="61">
        <f t="shared" si="0"/>
        <v>6547.5304241324366</v>
      </c>
      <c r="AG15" s="61">
        <f t="shared" si="0"/>
        <v>855.31146425441671</v>
      </c>
      <c r="AH15" s="64">
        <f t="shared" si="0"/>
        <v>7402.8418883868535</v>
      </c>
      <c r="AI15" s="33">
        <f t="shared" si="0"/>
        <v>9523.7050356370091</v>
      </c>
      <c r="AJ15" s="33">
        <f t="shared" si="0"/>
        <v>548.10771291150456</v>
      </c>
      <c r="AK15" s="44">
        <f t="shared" si="0"/>
        <v>10071.812748548513</v>
      </c>
      <c r="AL15" s="33">
        <f t="shared" si="0"/>
        <v>8035.6261238187262</v>
      </c>
      <c r="AM15" s="33">
        <f t="shared" si="0"/>
        <v>548.10771291150456</v>
      </c>
      <c r="AN15" s="44">
        <f t="shared" si="0"/>
        <v>8583.7338367302309</v>
      </c>
      <c r="AO15" s="33">
        <f t="shared" si="0"/>
        <v>6547.5472120004442</v>
      </c>
      <c r="AP15" s="33">
        <f t="shared" si="0"/>
        <v>548.10771291150456</v>
      </c>
      <c r="AQ15" s="44">
        <f t="shared" si="0"/>
        <v>7095.654924911948</v>
      </c>
    </row>
    <row r="16" spans="1:43" s="2" customFormat="1" x14ac:dyDescent="0.15">
      <c r="A16" s="2" t="s">
        <v>3</v>
      </c>
      <c r="B16" s="4">
        <f>SUM(B7:B15)</f>
        <v>241399.99999999994</v>
      </c>
      <c r="C16" s="4">
        <f t="shared" ref="C16:U16" si="8">SUM(C7:C15)</f>
        <v>339870.55348203081</v>
      </c>
      <c r="D16" s="4">
        <f t="shared" si="8"/>
        <v>339870.55348203081</v>
      </c>
      <c r="E16" s="4">
        <f t="shared" si="8"/>
        <v>68617.213765183202</v>
      </c>
      <c r="F16" s="4">
        <f t="shared" si="8"/>
        <v>408487.76724721404</v>
      </c>
      <c r="G16" s="4">
        <f t="shared" si="8"/>
        <v>286765.77950046357</v>
      </c>
      <c r="H16" s="4">
        <f t="shared" si="8"/>
        <v>68617.213765183202</v>
      </c>
      <c r="I16" s="4">
        <f t="shared" si="8"/>
        <v>355382.99326564668</v>
      </c>
      <c r="J16" s="4">
        <f t="shared" si="8"/>
        <v>233661.00551889621</v>
      </c>
      <c r="K16" s="4">
        <f t="shared" si="8"/>
        <v>68617.213765183202</v>
      </c>
      <c r="L16" s="4">
        <f t="shared" si="8"/>
        <v>302278.21928407939</v>
      </c>
      <c r="M16" s="4">
        <f t="shared" si="8"/>
        <v>339871.42491013004</v>
      </c>
      <c r="N16" s="4">
        <f t="shared" si="8"/>
        <v>16729.906493145325</v>
      </c>
      <c r="O16" s="4">
        <f t="shared" si="8"/>
        <v>356601.33140327531</v>
      </c>
      <c r="P16" s="4">
        <f t="shared" si="8"/>
        <v>286766.51476792223</v>
      </c>
      <c r="Q16" s="4">
        <f t="shared" si="8"/>
        <v>16729.906493145325</v>
      </c>
      <c r="R16" s="4">
        <f t="shared" si="8"/>
        <v>303496.4212610675</v>
      </c>
      <c r="S16" s="4">
        <f t="shared" si="8"/>
        <v>233661.60462571436</v>
      </c>
      <c r="T16" s="4">
        <f t="shared" si="8"/>
        <v>16729.906493145325</v>
      </c>
      <c r="U16" s="4">
        <f t="shared" si="8"/>
        <v>250391.51111885972</v>
      </c>
      <c r="V16" s="70"/>
      <c r="W16" s="2" t="s">
        <v>3</v>
      </c>
      <c r="X16" s="4">
        <f t="shared" si="7"/>
        <v>78660.431399999987</v>
      </c>
      <c r="Y16" s="4">
        <f t="shared" si="0"/>
        <v>110747.15972267321</v>
      </c>
      <c r="Z16" s="4">
        <f t="shared" si="0"/>
        <v>110747.15972267321</v>
      </c>
      <c r="AA16" s="4">
        <f t="shared" si="0"/>
        <v>22358.987722598711</v>
      </c>
      <c r="AB16" s="4">
        <f t="shared" si="0"/>
        <v>133106.14744527196</v>
      </c>
      <c r="AC16" s="4">
        <f t="shared" si="0"/>
        <v>93442.916016005547</v>
      </c>
      <c r="AD16" s="4">
        <f t="shared" si="0"/>
        <v>22358.987722598711</v>
      </c>
      <c r="AE16" s="4">
        <f t="shared" si="0"/>
        <v>115801.90373860423</v>
      </c>
      <c r="AF16" s="4">
        <f t="shared" si="0"/>
        <v>76138.672309337839</v>
      </c>
      <c r="AG16" s="4">
        <f t="shared" si="0"/>
        <v>22358.987722598711</v>
      </c>
      <c r="AH16" s="4">
        <f t="shared" si="0"/>
        <v>98497.660031936553</v>
      </c>
      <c r="AI16" s="4">
        <f t="shared" si="0"/>
        <v>110747.44367839077</v>
      </c>
      <c r="AJ16" s="4">
        <f t="shared" si="0"/>
        <v>5451.4567606978972</v>
      </c>
      <c r="AK16" s="4">
        <f t="shared" si="0"/>
        <v>116198.90043908867</v>
      </c>
      <c r="AL16" s="4">
        <f t="shared" si="0"/>
        <v>93443.155603642226</v>
      </c>
      <c r="AM16" s="4">
        <f t="shared" si="0"/>
        <v>5451.4567606978972</v>
      </c>
      <c r="AN16" s="4">
        <f t="shared" si="0"/>
        <v>98894.612364340108</v>
      </c>
      <c r="AO16" s="4">
        <f t="shared" si="0"/>
        <v>76138.86752889365</v>
      </c>
      <c r="AP16" s="4">
        <f t="shared" si="0"/>
        <v>5451.4567606978972</v>
      </c>
      <c r="AQ16" s="4">
        <f t="shared" si="0"/>
        <v>81590.324289591546</v>
      </c>
    </row>
    <row r="18" spans="1:43" ht="30" x14ac:dyDescent="0.15">
      <c r="A18" s="6" t="s">
        <v>127</v>
      </c>
      <c r="B18" s="159" t="s">
        <v>52</v>
      </c>
      <c r="C18" s="159" t="s">
        <v>52</v>
      </c>
      <c r="D18" s="22" t="s">
        <v>52</v>
      </c>
      <c r="E18" s="22" t="s">
        <v>52</v>
      </c>
      <c r="F18" s="56" t="s">
        <v>52</v>
      </c>
      <c r="G18" s="22" t="s">
        <v>52</v>
      </c>
      <c r="H18" s="22" t="s">
        <v>52</v>
      </c>
      <c r="I18" s="56" t="s">
        <v>52</v>
      </c>
      <c r="J18" s="22" t="s">
        <v>52</v>
      </c>
      <c r="K18" s="22" t="s">
        <v>52</v>
      </c>
      <c r="L18" s="56" t="s">
        <v>52</v>
      </c>
      <c r="M18" s="15" t="s">
        <v>52</v>
      </c>
      <c r="N18" s="15" t="s">
        <v>52</v>
      </c>
      <c r="O18" s="65" t="s">
        <v>52</v>
      </c>
      <c r="P18" s="15" t="s">
        <v>52</v>
      </c>
      <c r="Q18" s="15" t="s">
        <v>52</v>
      </c>
      <c r="R18" s="65" t="s">
        <v>52</v>
      </c>
      <c r="S18" s="15" t="s">
        <v>52</v>
      </c>
      <c r="T18" s="15" t="s">
        <v>52</v>
      </c>
      <c r="U18" s="65" t="s">
        <v>52</v>
      </c>
      <c r="W18" s="6" t="s">
        <v>127</v>
      </c>
      <c r="X18" s="159" t="s">
        <v>52</v>
      </c>
      <c r="Y18" s="159" t="s">
        <v>52</v>
      </c>
      <c r="Z18" s="22" t="s">
        <v>52</v>
      </c>
      <c r="AA18" s="22" t="s">
        <v>52</v>
      </c>
      <c r="AB18" s="56" t="s">
        <v>52</v>
      </c>
      <c r="AC18" s="22" t="s">
        <v>52</v>
      </c>
      <c r="AD18" s="22" t="s">
        <v>52</v>
      </c>
      <c r="AE18" s="56" t="s">
        <v>52</v>
      </c>
      <c r="AF18" s="22" t="s">
        <v>52</v>
      </c>
      <c r="AG18" s="22" t="s">
        <v>52</v>
      </c>
      <c r="AH18" s="56" t="s">
        <v>52</v>
      </c>
      <c r="AI18" s="15" t="s">
        <v>52</v>
      </c>
      <c r="AJ18" s="15" t="s">
        <v>52</v>
      </c>
      <c r="AK18" s="65" t="s">
        <v>52</v>
      </c>
      <c r="AL18" s="15" t="s">
        <v>52</v>
      </c>
      <c r="AM18" s="15" t="s">
        <v>52</v>
      </c>
      <c r="AN18" s="65" t="s">
        <v>52</v>
      </c>
      <c r="AO18" s="15" t="s">
        <v>52</v>
      </c>
      <c r="AP18" s="15" t="s">
        <v>52</v>
      </c>
      <c r="AQ18" s="65" t="s">
        <v>52</v>
      </c>
    </row>
    <row r="19" spans="1:43" ht="30" x14ac:dyDescent="0.15">
      <c r="A19" s="6" t="s">
        <v>128</v>
      </c>
      <c r="B19" s="159" t="s">
        <v>107</v>
      </c>
      <c r="C19" s="159" t="s">
        <v>107</v>
      </c>
      <c r="D19" s="22" t="s">
        <v>107</v>
      </c>
      <c r="E19" s="22" t="s">
        <v>107</v>
      </c>
      <c r="F19" s="56" t="s">
        <v>107</v>
      </c>
      <c r="G19" s="22" t="s">
        <v>121</v>
      </c>
      <c r="H19" s="22" t="s">
        <v>121</v>
      </c>
      <c r="I19" s="56" t="s">
        <v>121</v>
      </c>
      <c r="J19" s="22" t="s">
        <v>130</v>
      </c>
      <c r="K19" s="22" t="s">
        <v>130</v>
      </c>
      <c r="L19" s="56" t="s">
        <v>130</v>
      </c>
      <c r="M19" s="15" t="s">
        <v>107</v>
      </c>
      <c r="N19" s="15" t="s">
        <v>107</v>
      </c>
      <c r="O19" s="65" t="s">
        <v>107</v>
      </c>
      <c r="P19" s="15" t="s">
        <v>121</v>
      </c>
      <c r="Q19" s="15" t="s">
        <v>121</v>
      </c>
      <c r="R19" s="65" t="s">
        <v>121</v>
      </c>
      <c r="S19" s="15" t="s">
        <v>130</v>
      </c>
      <c r="T19" s="15" t="s">
        <v>130</v>
      </c>
      <c r="U19" s="65" t="s">
        <v>130</v>
      </c>
      <c r="W19" s="6" t="s">
        <v>128</v>
      </c>
      <c r="X19" s="159" t="s">
        <v>107</v>
      </c>
      <c r="Y19" s="159" t="s">
        <v>107</v>
      </c>
      <c r="Z19" s="22" t="s">
        <v>107</v>
      </c>
      <c r="AA19" s="22" t="s">
        <v>107</v>
      </c>
      <c r="AB19" s="56" t="s">
        <v>107</v>
      </c>
      <c r="AC19" s="22" t="s">
        <v>121</v>
      </c>
      <c r="AD19" s="22" t="s">
        <v>121</v>
      </c>
      <c r="AE19" s="56" t="s">
        <v>121</v>
      </c>
      <c r="AF19" s="22" t="s">
        <v>130</v>
      </c>
      <c r="AG19" s="22" t="s">
        <v>130</v>
      </c>
      <c r="AH19" s="56" t="s">
        <v>130</v>
      </c>
      <c r="AI19" s="15" t="s">
        <v>107</v>
      </c>
      <c r="AJ19" s="15" t="s">
        <v>107</v>
      </c>
      <c r="AK19" s="65" t="s">
        <v>107</v>
      </c>
      <c r="AL19" s="15" t="s">
        <v>121</v>
      </c>
      <c r="AM19" s="15" t="s">
        <v>121</v>
      </c>
      <c r="AN19" s="65" t="s">
        <v>121</v>
      </c>
      <c r="AO19" s="15" t="s">
        <v>130</v>
      </c>
      <c r="AP19" s="15" t="s">
        <v>130</v>
      </c>
      <c r="AQ19" s="65" t="s">
        <v>130</v>
      </c>
    </row>
    <row r="20" spans="1:43" ht="30" x14ac:dyDescent="0.15">
      <c r="A20" s="6" t="s">
        <v>98</v>
      </c>
      <c r="B20" s="159" t="s">
        <v>131</v>
      </c>
      <c r="C20" s="159" t="s">
        <v>131</v>
      </c>
      <c r="D20" s="22" t="s">
        <v>100</v>
      </c>
      <c r="E20" s="22" t="s">
        <v>100</v>
      </c>
      <c r="F20" s="56" t="s">
        <v>100</v>
      </c>
      <c r="G20" s="22" t="s">
        <v>100</v>
      </c>
      <c r="H20" s="22" t="s">
        <v>100</v>
      </c>
      <c r="I20" s="56" t="s">
        <v>100</v>
      </c>
      <c r="J20" s="22" t="s">
        <v>100</v>
      </c>
      <c r="K20" s="22" t="s">
        <v>100</v>
      </c>
      <c r="L20" s="56" t="s">
        <v>100</v>
      </c>
      <c r="M20" s="15" t="s">
        <v>101</v>
      </c>
      <c r="N20" s="15" t="s">
        <v>101</v>
      </c>
      <c r="O20" s="65" t="s">
        <v>101</v>
      </c>
      <c r="P20" s="15" t="s">
        <v>101</v>
      </c>
      <c r="Q20" s="15" t="s">
        <v>101</v>
      </c>
      <c r="R20" s="65" t="s">
        <v>101</v>
      </c>
      <c r="S20" s="15" t="s">
        <v>101</v>
      </c>
      <c r="T20" s="15" t="s">
        <v>101</v>
      </c>
      <c r="U20" s="65" t="s">
        <v>101</v>
      </c>
      <c r="W20" s="6" t="s">
        <v>98</v>
      </c>
      <c r="X20" s="159" t="s">
        <v>131</v>
      </c>
      <c r="Y20" s="159" t="s">
        <v>131</v>
      </c>
      <c r="Z20" s="22" t="s">
        <v>100</v>
      </c>
      <c r="AA20" s="22" t="s">
        <v>100</v>
      </c>
      <c r="AB20" s="56" t="s">
        <v>100</v>
      </c>
      <c r="AC20" s="22" t="s">
        <v>100</v>
      </c>
      <c r="AD20" s="22" t="s">
        <v>100</v>
      </c>
      <c r="AE20" s="56" t="s">
        <v>100</v>
      </c>
      <c r="AF20" s="22" t="s">
        <v>100</v>
      </c>
      <c r="AG20" s="22" t="s">
        <v>100</v>
      </c>
      <c r="AH20" s="56" t="s">
        <v>100</v>
      </c>
      <c r="AI20" s="15" t="s">
        <v>101</v>
      </c>
      <c r="AJ20" s="15" t="s">
        <v>101</v>
      </c>
      <c r="AK20" s="65" t="s">
        <v>101</v>
      </c>
      <c r="AL20" s="15" t="s">
        <v>101</v>
      </c>
      <c r="AM20" s="15" t="s">
        <v>101</v>
      </c>
      <c r="AN20" s="65" t="s">
        <v>101</v>
      </c>
      <c r="AO20" s="15" t="s">
        <v>101</v>
      </c>
      <c r="AP20" s="15" t="s">
        <v>101</v>
      </c>
      <c r="AQ20" s="65" t="s">
        <v>101</v>
      </c>
    </row>
    <row r="21" spans="1:43" ht="15" x14ac:dyDescent="0.15">
      <c r="A21" s="6" t="s">
        <v>129</v>
      </c>
      <c r="B21" s="159" t="s">
        <v>99</v>
      </c>
      <c r="C21" s="159" t="s">
        <v>99</v>
      </c>
      <c r="D21" s="22" t="s">
        <v>99</v>
      </c>
      <c r="E21" s="22" t="s">
        <v>120</v>
      </c>
      <c r="F21" s="56" t="s">
        <v>3</v>
      </c>
      <c r="G21" s="22" t="s">
        <v>99</v>
      </c>
      <c r="H21" s="22" t="s">
        <v>120</v>
      </c>
      <c r="I21" s="56" t="s">
        <v>3</v>
      </c>
      <c r="J21" s="22" t="s">
        <v>99</v>
      </c>
      <c r="K21" s="22" t="s">
        <v>120</v>
      </c>
      <c r="L21" s="56" t="s">
        <v>3</v>
      </c>
      <c r="M21" s="15" t="s">
        <v>99</v>
      </c>
      <c r="N21" s="15" t="s">
        <v>120</v>
      </c>
      <c r="O21" s="65" t="s">
        <v>3</v>
      </c>
      <c r="P21" s="15" t="s">
        <v>99</v>
      </c>
      <c r="Q21" s="15" t="s">
        <v>120</v>
      </c>
      <c r="R21" s="65" t="s">
        <v>3</v>
      </c>
      <c r="S21" s="15" t="s">
        <v>99</v>
      </c>
      <c r="T21" s="15" t="s">
        <v>120</v>
      </c>
      <c r="U21" s="65" t="s">
        <v>3</v>
      </c>
      <c r="W21" s="6" t="s">
        <v>129</v>
      </c>
      <c r="X21" s="159" t="s">
        <v>99</v>
      </c>
      <c r="Y21" s="159" t="s">
        <v>99</v>
      </c>
      <c r="Z21" s="22" t="s">
        <v>99</v>
      </c>
      <c r="AA21" s="22" t="s">
        <v>120</v>
      </c>
      <c r="AB21" s="56" t="s">
        <v>3</v>
      </c>
      <c r="AC21" s="22" t="s">
        <v>99</v>
      </c>
      <c r="AD21" s="22" t="s">
        <v>120</v>
      </c>
      <c r="AE21" s="56" t="s">
        <v>3</v>
      </c>
      <c r="AF21" s="22" t="s">
        <v>99</v>
      </c>
      <c r="AG21" s="22" t="s">
        <v>120</v>
      </c>
      <c r="AH21" s="56" t="s">
        <v>3</v>
      </c>
      <c r="AI21" s="15" t="s">
        <v>99</v>
      </c>
      <c r="AJ21" s="15" t="s">
        <v>120</v>
      </c>
      <c r="AK21" s="65" t="s">
        <v>3</v>
      </c>
      <c r="AL21" s="15" t="s">
        <v>99</v>
      </c>
      <c r="AM21" s="15" t="s">
        <v>120</v>
      </c>
      <c r="AN21" s="65" t="s">
        <v>3</v>
      </c>
      <c r="AO21" s="15" t="s">
        <v>99</v>
      </c>
      <c r="AP21" s="15" t="s">
        <v>120</v>
      </c>
      <c r="AQ21" s="65" t="s">
        <v>3</v>
      </c>
    </row>
    <row r="22" spans="1:43" ht="15" x14ac:dyDescent="0.15">
      <c r="A22" s="6" t="s">
        <v>48</v>
      </c>
      <c r="B22" s="159" t="s">
        <v>108</v>
      </c>
      <c r="C22" s="159" t="s">
        <v>108</v>
      </c>
      <c r="D22" s="22" t="s">
        <v>108</v>
      </c>
      <c r="E22" s="22" t="s">
        <v>108</v>
      </c>
      <c r="F22" s="56" t="s">
        <v>108</v>
      </c>
      <c r="G22" s="22" t="s">
        <v>108</v>
      </c>
      <c r="H22" s="22" t="s">
        <v>108</v>
      </c>
      <c r="I22" s="56" t="s">
        <v>108</v>
      </c>
      <c r="J22" s="22" t="s">
        <v>108</v>
      </c>
      <c r="K22" s="22" t="s">
        <v>108</v>
      </c>
      <c r="L22" s="56" t="s">
        <v>108</v>
      </c>
      <c r="M22" s="15" t="s">
        <v>108</v>
      </c>
      <c r="N22" s="15" t="s">
        <v>108</v>
      </c>
      <c r="O22" s="65" t="s">
        <v>108</v>
      </c>
      <c r="P22" s="15" t="s">
        <v>108</v>
      </c>
      <c r="Q22" s="15" t="s">
        <v>108</v>
      </c>
      <c r="R22" s="65" t="s">
        <v>108</v>
      </c>
      <c r="S22" s="15" t="s">
        <v>108</v>
      </c>
      <c r="T22" s="15" t="s">
        <v>108</v>
      </c>
      <c r="U22" s="65" t="s">
        <v>108</v>
      </c>
      <c r="W22" s="6" t="s">
        <v>48</v>
      </c>
      <c r="X22" s="159" t="s">
        <v>134</v>
      </c>
      <c r="Y22" s="159" t="s">
        <v>134</v>
      </c>
      <c r="Z22" s="22" t="s">
        <v>134</v>
      </c>
      <c r="AA22" s="22" t="s">
        <v>134</v>
      </c>
      <c r="AB22" s="56" t="s">
        <v>134</v>
      </c>
      <c r="AC22" s="22" t="s">
        <v>134</v>
      </c>
      <c r="AD22" s="22" t="s">
        <v>134</v>
      </c>
      <c r="AE22" s="56" t="s">
        <v>134</v>
      </c>
      <c r="AF22" s="22" t="s">
        <v>134</v>
      </c>
      <c r="AG22" s="22" t="s">
        <v>134</v>
      </c>
      <c r="AH22" s="56" t="s">
        <v>134</v>
      </c>
      <c r="AI22" s="15" t="s">
        <v>134</v>
      </c>
      <c r="AJ22" s="15" t="s">
        <v>134</v>
      </c>
      <c r="AK22" s="65" t="s">
        <v>134</v>
      </c>
      <c r="AL22" s="15" t="s">
        <v>134</v>
      </c>
      <c r="AM22" s="15" t="s">
        <v>134</v>
      </c>
      <c r="AN22" s="65" t="s">
        <v>134</v>
      </c>
      <c r="AO22" s="15" t="s">
        <v>134</v>
      </c>
      <c r="AP22" s="15" t="s">
        <v>134</v>
      </c>
      <c r="AQ22" s="65" t="s">
        <v>134</v>
      </c>
    </row>
    <row r="23" spans="1:43" s="59" customFormat="1" ht="15" x14ac:dyDescent="0.15">
      <c r="A23" s="158" t="s">
        <v>19</v>
      </c>
      <c r="F23" s="63"/>
      <c r="I23" s="63"/>
      <c r="L23" s="63"/>
      <c r="O23" s="63"/>
      <c r="R23" s="63"/>
      <c r="U23" s="63"/>
      <c r="V23" s="69"/>
      <c r="W23" s="63"/>
    </row>
    <row r="24" spans="1:43" x14ac:dyDescent="0.15">
      <c r="A24" s="2" t="s">
        <v>17</v>
      </c>
      <c r="B24" s="60">
        <f>MF_Outdoor!B20</f>
        <v>10950.000000000002</v>
      </c>
      <c r="C24" s="195">
        <f>MF_Outdoor!B20</f>
        <v>10950.000000000002</v>
      </c>
      <c r="D24" s="66">
        <f>MF_Outdoor!C20</f>
        <v>10950.000000000002</v>
      </c>
      <c r="E24" s="66">
        <f>MF_Outdoor!D20</f>
        <v>8927.473406991985</v>
      </c>
      <c r="F24" s="49">
        <f>SUM(D24:E24)</f>
        <v>19877.473406991987</v>
      </c>
      <c r="G24" s="27">
        <f>MF_Outdoor!E20</f>
        <v>9239.0625000000018</v>
      </c>
      <c r="H24" s="27">
        <f>MF_Outdoor!F20</f>
        <v>8927.473406991985</v>
      </c>
      <c r="I24" s="49">
        <f>SUM(G24:H24)</f>
        <v>18166.535906991987</v>
      </c>
      <c r="J24" s="27">
        <f>MF_Outdoor!G20</f>
        <v>7528.1250000000018</v>
      </c>
      <c r="K24" s="27">
        <f>MF_Outdoor!H20</f>
        <v>8927.473406991985</v>
      </c>
      <c r="L24" s="49">
        <f>SUM(J24:K24)</f>
        <v>16455.598406991987</v>
      </c>
      <c r="M24" s="33">
        <f>MF_Outdoor!I20</f>
        <v>10950.000000000002</v>
      </c>
      <c r="N24" s="33">
        <f>MF_Outdoor!J20</f>
        <v>9619.3463869252428</v>
      </c>
      <c r="O24" s="44">
        <f>SUM(M24:N24)</f>
        <v>20569.346386925245</v>
      </c>
      <c r="P24" s="33">
        <f>MF_Outdoor!K20</f>
        <v>9239.0625000000018</v>
      </c>
      <c r="Q24" s="33">
        <f>MF_Outdoor!L20</f>
        <v>9619.3463869252428</v>
      </c>
      <c r="R24" s="44">
        <f>SUM(P24:Q24)</f>
        <v>18858.408886925245</v>
      </c>
      <c r="S24" s="33">
        <f>MF_Outdoor!M20</f>
        <v>7528.1250000000018</v>
      </c>
      <c r="T24" s="33">
        <f>MF_Outdoor!N20</f>
        <v>9619.3463869252428</v>
      </c>
      <c r="U24" s="44">
        <f>SUM(S24:T24)</f>
        <v>17147.471386925245</v>
      </c>
      <c r="W24" s="2" t="s">
        <v>17</v>
      </c>
      <c r="X24" s="195">
        <f>(B24*325851)/10^6</f>
        <v>3568.0684500000007</v>
      </c>
      <c r="Y24" s="60">
        <f t="shared" ref="Y24:AQ33" si="9">(C24*325851)/10^6</f>
        <v>3568.0684500000007</v>
      </c>
      <c r="Z24" s="61">
        <f t="shared" si="9"/>
        <v>3568.0684500000007</v>
      </c>
      <c r="AA24" s="61">
        <f t="shared" si="9"/>
        <v>2909.026137141745</v>
      </c>
      <c r="AB24" s="64">
        <f t="shared" si="9"/>
        <v>6477.0945871417453</v>
      </c>
      <c r="AC24" s="61">
        <f t="shared" si="9"/>
        <v>3010.5577546875006</v>
      </c>
      <c r="AD24" s="61">
        <f t="shared" si="9"/>
        <v>2909.026137141745</v>
      </c>
      <c r="AE24" s="64">
        <f t="shared" si="9"/>
        <v>5919.5838918292457</v>
      </c>
      <c r="AF24" s="61">
        <f t="shared" si="9"/>
        <v>2453.0470593750006</v>
      </c>
      <c r="AG24" s="61">
        <f t="shared" si="9"/>
        <v>2909.026137141745</v>
      </c>
      <c r="AH24" s="64">
        <f t="shared" si="9"/>
        <v>5362.0731965167452</v>
      </c>
      <c r="AI24" s="33">
        <f t="shared" si="9"/>
        <v>3568.0684500000007</v>
      </c>
      <c r="AJ24" s="33">
        <f t="shared" si="9"/>
        <v>3134.473639525977</v>
      </c>
      <c r="AK24" s="44">
        <f t="shared" si="9"/>
        <v>6702.5420895259776</v>
      </c>
      <c r="AL24" s="33">
        <f t="shared" si="9"/>
        <v>3010.5577546875006</v>
      </c>
      <c r="AM24" s="33">
        <f t="shared" si="9"/>
        <v>3134.473639525977</v>
      </c>
      <c r="AN24" s="44">
        <f t="shared" si="9"/>
        <v>6145.0313942134781</v>
      </c>
      <c r="AO24" s="33">
        <f t="shared" si="9"/>
        <v>2453.0470593750006</v>
      </c>
      <c r="AP24" s="33">
        <f t="shared" si="9"/>
        <v>3134.473639525977</v>
      </c>
      <c r="AQ24" s="44">
        <f t="shared" si="9"/>
        <v>5587.5206989009785</v>
      </c>
    </row>
    <row r="25" spans="1:43" x14ac:dyDescent="0.15">
      <c r="A25" s="2" t="s">
        <v>21</v>
      </c>
      <c r="B25" s="60">
        <f>MF_Outdoor!B21</f>
        <v>7116.6666666666661</v>
      </c>
      <c r="C25" s="195">
        <f>MF_Outdoor!B21</f>
        <v>7116.6666666666661</v>
      </c>
      <c r="D25" s="66">
        <f>MF_Outdoor!C21</f>
        <v>7116.666666666667</v>
      </c>
      <c r="E25" s="66">
        <f>MF_Outdoor!D21</f>
        <v>3761.5751047562603</v>
      </c>
      <c r="F25" s="49">
        <f t="shared" ref="F25:F32" si="10">SUM(D25:E25)</f>
        <v>10878.241771422927</v>
      </c>
      <c r="G25" s="27">
        <f>MF_Outdoor!E21</f>
        <v>6004.6875</v>
      </c>
      <c r="H25" s="27">
        <f>MF_Outdoor!F21</f>
        <v>3761.5751047562603</v>
      </c>
      <c r="I25" s="49">
        <f t="shared" ref="I25:I32" si="11">SUM(G25:H25)</f>
        <v>9766.2626047562608</v>
      </c>
      <c r="J25" s="27">
        <f>MF_Outdoor!G21</f>
        <v>4892.708333333333</v>
      </c>
      <c r="K25" s="27">
        <f>MF_Outdoor!H21</f>
        <v>3761.5751047562603</v>
      </c>
      <c r="L25" s="49">
        <f t="shared" ref="L25:L32" si="12">SUM(J25:K25)</f>
        <v>8654.2834380895929</v>
      </c>
      <c r="M25" s="33">
        <f>MF_Outdoor!I21</f>
        <v>7116.666666666667</v>
      </c>
      <c r="N25" s="33">
        <f>MF_Outdoor!J21</f>
        <v>9981.7179958119686</v>
      </c>
      <c r="O25" s="44">
        <f t="shared" ref="O25:O32" si="13">SUM(M25:N25)</f>
        <v>17098.384662478635</v>
      </c>
      <c r="P25" s="33">
        <f>MF_Outdoor!K21</f>
        <v>6004.6875</v>
      </c>
      <c r="Q25" s="33">
        <f>MF_Outdoor!L21</f>
        <v>9981.7179958119686</v>
      </c>
      <c r="R25" s="44">
        <f t="shared" ref="R25:R32" si="14">SUM(P25:Q25)</f>
        <v>15986.405495811969</v>
      </c>
      <c r="S25" s="33">
        <f>MF_Outdoor!M21</f>
        <v>4892.708333333333</v>
      </c>
      <c r="T25" s="33">
        <f>MF_Outdoor!N21</f>
        <v>9981.7179958119686</v>
      </c>
      <c r="U25" s="44">
        <f t="shared" ref="U25:U32" si="15">SUM(S25:T25)</f>
        <v>14874.426329145303</v>
      </c>
      <c r="W25" s="2" t="s">
        <v>21</v>
      </c>
      <c r="X25" s="195">
        <f t="shared" ref="X25:X33" si="16">(B25*325851)/10^6</f>
        <v>2318.9729499999999</v>
      </c>
      <c r="Y25" s="60">
        <f t="shared" si="9"/>
        <v>2318.9729499999999</v>
      </c>
      <c r="Z25" s="61">
        <f t="shared" si="9"/>
        <v>2318.9729499999999</v>
      </c>
      <c r="AA25" s="61">
        <f t="shared" si="9"/>
        <v>1225.713009459932</v>
      </c>
      <c r="AB25" s="64">
        <f t="shared" si="9"/>
        <v>3544.6859594599323</v>
      </c>
      <c r="AC25" s="61">
        <f t="shared" si="9"/>
        <v>1956.6334265625001</v>
      </c>
      <c r="AD25" s="61">
        <f t="shared" si="9"/>
        <v>1225.713009459932</v>
      </c>
      <c r="AE25" s="64">
        <f t="shared" si="9"/>
        <v>3182.3464360224325</v>
      </c>
      <c r="AF25" s="61">
        <f t="shared" si="9"/>
        <v>1594.293903125</v>
      </c>
      <c r="AG25" s="61">
        <f t="shared" si="9"/>
        <v>1225.713009459932</v>
      </c>
      <c r="AH25" s="64">
        <f t="shared" si="9"/>
        <v>2820.0069125849318</v>
      </c>
      <c r="AI25" s="33">
        <f t="shared" si="9"/>
        <v>2318.9729499999999</v>
      </c>
      <c r="AJ25" s="33">
        <f t="shared" si="9"/>
        <v>3252.5527906533262</v>
      </c>
      <c r="AK25" s="44">
        <f t="shared" si="9"/>
        <v>5571.5257406533265</v>
      </c>
      <c r="AL25" s="33">
        <f t="shared" si="9"/>
        <v>1956.6334265625001</v>
      </c>
      <c r="AM25" s="33">
        <f t="shared" si="9"/>
        <v>3252.5527906533262</v>
      </c>
      <c r="AN25" s="44">
        <f t="shared" si="9"/>
        <v>5209.1862172158262</v>
      </c>
      <c r="AO25" s="33">
        <f t="shared" si="9"/>
        <v>1594.293903125</v>
      </c>
      <c r="AP25" s="33">
        <f t="shared" si="9"/>
        <v>3252.5527906533262</v>
      </c>
      <c r="AQ25" s="44">
        <f t="shared" si="9"/>
        <v>4846.846693778326</v>
      </c>
    </row>
    <row r="26" spans="1:43" x14ac:dyDescent="0.15">
      <c r="A26" s="2" t="s">
        <v>22</v>
      </c>
      <c r="B26" s="60">
        <f>MF_Outdoor!B22</f>
        <v>583.33333333333337</v>
      </c>
      <c r="C26" s="195">
        <f>MF_Outdoor!B22</f>
        <v>583.33333333333337</v>
      </c>
      <c r="D26" s="66">
        <f>MF_Outdoor!C22</f>
        <v>583.33333333333337</v>
      </c>
      <c r="E26" s="66">
        <f>MF_Outdoor!D22</f>
        <v>351.32475226063087</v>
      </c>
      <c r="F26" s="49">
        <f t="shared" si="10"/>
        <v>934.65808559396419</v>
      </c>
      <c r="G26" s="27">
        <f>MF_Outdoor!E22</f>
        <v>492.18750000000006</v>
      </c>
      <c r="H26" s="27">
        <f>MF_Outdoor!F22</f>
        <v>351.32475226063087</v>
      </c>
      <c r="I26" s="49">
        <f t="shared" si="11"/>
        <v>843.51225226063093</v>
      </c>
      <c r="J26" s="27">
        <f>MF_Outdoor!G22</f>
        <v>401.04166666666674</v>
      </c>
      <c r="K26" s="27">
        <f>MF_Outdoor!H22</f>
        <v>351.32475226063087</v>
      </c>
      <c r="L26" s="49">
        <f t="shared" si="12"/>
        <v>752.36641892729767</v>
      </c>
      <c r="M26" s="33">
        <f>MF_Outdoor!I22</f>
        <v>583.33333333333337</v>
      </c>
      <c r="N26" s="33">
        <f>MF_Outdoor!J22</f>
        <v>606.55645342610592</v>
      </c>
      <c r="O26" s="44">
        <f t="shared" si="13"/>
        <v>1189.8897867594392</v>
      </c>
      <c r="P26" s="33">
        <f>MF_Outdoor!K22</f>
        <v>492.18750000000006</v>
      </c>
      <c r="Q26" s="33">
        <f>MF_Outdoor!L22</f>
        <v>606.55645342610592</v>
      </c>
      <c r="R26" s="44">
        <f t="shared" si="14"/>
        <v>1098.7439534261059</v>
      </c>
      <c r="S26" s="33">
        <f>MF_Outdoor!M22</f>
        <v>401.04166666666674</v>
      </c>
      <c r="T26" s="33">
        <f>MF_Outdoor!N22</f>
        <v>606.55645342610592</v>
      </c>
      <c r="U26" s="44">
        <f t="shared" si="15"/>
        <v>1007.5981200927727</v>
      </c>
      <c r="W26" s="2" t="s">
        <v>22</v>
      </c>
      <c r="X26" s="195">
        <f t="shared" si="16"/>
        <v>190.07974999999999</v>
      </c>
      <c r="Y26" s="60">
        <f t="shared" si="9"/>
        <v>190.07974999999999</v>
      </c>
      <c r="Z26" s="61">
        <f t="shared" si="9"/>
        <v>190.07974999999999</v>
      </c>
      <c r="AA26" s="61">
        <f t="shared" si="9"/>
        <v>114.47952184887883</v>
      </c>
      <c r="AB26" s="64">
        <f t="shared" si="9"/>
        <v>304.55927184887878</v>
      </c>
      <c r="AC26" s="61">
        <f t="shared" si="9"/>
        <v>160.37978906250004</v>
      </c>
      <c r="AD26" s="61">
        <f t="shared" si="9"/>
        <v>114.47952184887883</v>
      </c>
      <c r="AE26" s="64">
        <f t="shared" si="9"/>
        <v>274.85931091137888</v>
      </c>
      <c r="AF26" s="61">
        <f t="shared" si="9"/>
        <v>130.67982812500003</v>
      </c>
      <c r="AG26" s="61">
        <f t="shared" si="9"/>
        <v>114.47952184887883</v>
      </c>
      <c r="AH26" s="64">
        <f t="shared" si="9"/>
        <v>245.15934997387885</v>
      </c>
      <c r="AI26" s="33">
        <f t="shared" si="9"/>
        <v>190.07974999999999</v>
      </c>
      <c r="AJ26" s="33">
        <f t="shared" si="9"/>
        <v>197.64702690535003</v>
      </c>
      <c r="AK26" s="44">
        <f t="shared" si="9"/>
        <v>387.72677690535005</v>
      </c>
      <c r="AL26" s="33">
        <f t="shared" si="9"/>
        <v>160.37978906250004</v>
      </c>
      <c r="AM26" s="33">
        <f t="shared" si="9"/>
        <v>197.64702690535003</v>
      </c>
      <c r="AN26" s="44">
        <f t="shared" si="9"/>
        <v>358.02681596785004</v>
      </c>
      <c r="AO26" s="33">
        <f t="shared" si="9"/>
        <v>130.67982812500003</v>
      </c>
      <c r="AP26" s="33">
        <f t="shared" si="9"/>
        <v>197.64702690535003</v>
      </c>
      <c r="AQ26" s="44">
        <f t="shared" si="9"/>
        <v>328.32685503035009</v>
      </c>
    </row>
    <row r="27" spans="1:43" x14ac:dyDescent="0.15">
      <c r="A27" s="2" t="s">
        <v>23</v>
      </c>
      <c r="B27" s="60">
        <f>MF_Outdoor!B23</f>
        <v>1433.3333333333333</v>
      </c>
      <c r="C27" s="195">
        <f>MF_Outdoor!B23</f>
        <v>1433.3333333333333</v>
      </c>
      <c r="D27" s="66">
        <f>MF_Outdoor!C23</f>
        <v>1433.3333333333333</v>
      </c>
      <c r="E27" s="66">
        <f>MF_Outdoor!D23</f>
        <v>708.5927144942209</v>
      </c>
      <c r="F27" s="49">
        <f t="shared" si="10"/>
        <v>2141.9260478275542</v>
      </c>
      <c r="G27" s="27">
        <f>MF_Outdoor!E23</f>
        <v>1209.375</v>
      </c>
      <c r="H27" s="27">
        <f>MF_Outdoor!F23</f>
        <v>708.5927144942209</v>
      </c>
      <c r="I27" s="49">
        <f t="shared" si="11"/>
        <v>1917.9677144942209</v>
      </c>
      <c r="J27" s="27">
        <f>MF_Outdoor!G23</f>
        <v>985.41666666666663</v>
      </c>
      <c r="K27" s="27">
        <f>MF_Outdoor!H23</f>
        <v>708.5927144942209</v>
      </c>
      <c r="L27" s="49">
        <f t="shared" si="12"/>
        <v>1694.0093811608876</v>
      </c>
      <c r="M27" s="33">
        <f>MF_Outdoor!I23</f>
        <v>1433.3333333333333</v>
      </c>
      <c r="N27" s="33">
        <f>MF_Outdoor!J23</f>
        <v>1775.4591262832193</v>
      </c>
      <c r="O27" s="44">
        <f t="shared" si="13"/>
        <v>3208.7924596165526</v>
      </c>
      <c r="P27" s="33">
        <f>MF_Outdoor!K23</f>
        <v>1209.375</v>
      </c>
      <c r="Q27" s="33">
        <f>MF_Outdoor!L23</f>
        <v>1775.4591262832193</v>
      </c>
      <c r="R27" s="44">
        <f t="shared" si="14"/>
        <v>2984.8341262832191</v>
      </c>
      <c r="S27" s="33">
        <f>MF_Outdoor!M23</f>
        <v>985.41666666666663</v>
      </c>
      <c r="T27" s="33">
        <f>MF_Outdoor!N23</f>
        <v>1775.4591262832193</v>
      </c>
      <c r="U27" s="44">
        <f t="shared" si="15"/>
        <v>2760.8757929498861</v>
      </c>
      <c r="W27" s="2" t="s">
        <v>23</v>
      </c>
      <c r="X27" s="195">
        <f t="shared" si="16"/>
        <v>467.05309999999997</v>
      </c>
      <c r="Y27" s="60">
        <f t="shared" si="9"/>
        <v>467.05309999999997</v>
      </c>
      <c r="Z27" s="61">
        <f t="shared" si="9"/>
        <v>467.05309999999997</v>
      </c>
      <c r="AA27" s="61">
        <f t="shared" si="9"/>
        <v>230.89564461065638</v>
      </c>
      <c r="AB27" s="64">
        <f t="shared" si="9"/>
        <v>697.94874461065638</v>
      </c>
      <c r="AC27" s="61">
        <f t="shared" si="9"/>
        <v>394.07605312499999</v>
      </c>
      <c r="AD27" s="61">
        <f t="shared" si="9"/>
        <v>230.89564461065638</v>
      </c>
      <c r="AE27" s="64">
        <f t="shared" si="9"/>
        <v>624.97169773565633</v>
      </c>
      <c r="AF27" s="61">
        <f t="shared" si="9"/>
        <v>321.09900625</v>
      </c>
      <c r="AG27" s="61">
        <f t="shared" si="9"/>
        <v>230.89564461065638</v>
      </c>
      <c r="AH27" s="64">
        <f t="shared" si="9"/>
        <v>551.99465086065641</v>
      </c>
      <c r="AI27" s="33">
        <f t="shared" si="9"/>
        <v>467.05309999999997</v>
      </c>
      <c r="AJ27" s="33">
        <f t="shared" si="9"/>
        <v>578.53513175851333</v>
      </c>
      <c r="AK27" s="44">
        <f t="shared" si="9"/>
        <v>1045.5882317585133</v>
      </c>
      <c r="AL27" s="33">
        <f t="shared" si="9"/>
        <v>394.07605312499999</v>
      </c>
      <c r="AM27" s="33">
        <f t="shared" si="9"/>
        <v>578.53513175851333</v>
      </c>
      <c r="AN27" s="44">
        <f t="shared" si="9"/>
        <v>972.61118488351326</v>
      </c>
      <c r="AO27" s="33">
        <f t="shared" si="9"/>
        <v>321.09900625</v>
      </c>
      <c r="AP27" s="33">
        <f t="shared" si="9"/>
        <v>578.53513175851333</v>
      </c>
      <c r="AQ27" s="44">
        <f t="shared" si="9"/>
        <v>899.63413800851333</v>
      </c>
    </row>
    <row r="28" spans="1:43" x14ac:dyDescent="0.15">
      <c r="A28" s="2" t="s">
        <v>24</v>
      </c>
      <c r="B28" s="60">
        <f>MF_Outdoor!B24</f>
        <v>1883.3333333333335</v>
      </c>
      <c r="C28" s="195">
        <f>MF_Outdoor!B24</f>
        <v>1883.3333333333335</v>
      </c>
      <c r="D28" s="66">
        <f>MF_Outdoor!C24</f>
        <v>1883.3333333333335</v>
      </c>
      <c r="E28" s="66">
        <f>MF_Outdoor!D24</f>
        <v>498.97976271148246</v>
      </c>
      <c r="F28" s="49">
        <f t="shared" si="10"/>
        <v>2382.3130960448161</v>
      </c>
      <c r="G28" s="27">
        <f>MF_Outdoor!E24</f>
        <v>1589.0625</v>
      </c>
      <c r="H28" s="27">
        <f>MF_Outdoor!F24</f>
        <v>498.97976271148246</v>
      </c>
      <c r="I28" s="49">
        <f t="shared" si="11"/>
        <v>2088.0422627114826</v>
      </c>
      <c r="J28" s="27">
        <f>MF_Outdoor!G24</f>
        <v>1294.7916666666667</v>
      </c>
      <c r="K28" s="27">
        <f>MF_Outdoor!H24</f>
        <v>498.97976271148246</v>
      </c>
      <c r="L28" s="49">
        <f t="shared" si="12"/>
        <v>1793.7714293781492</v>
      </c>
      <c r="M28" s="33">
        <f>MF_Outdoor!I24</f>
        <v>1883.3333333333335</v>
      </c>
      <c r="N28" s="33">
        <f>MF_Outdoor!J24</f>
        <v>360.67562173522555</v>
      </c>
      <c r="O28" s="44">
        <f t="shared" si="13"/>
        <v>2244.0089550685589</v>
      </c>
      <c r="P28" s="33">
        <f>MF_Outdoor!K24</f>
        <v>1589.0625</v>
      </c>
      <c r="Q28" s="33">
        <f>MF_Outdoor!L24</f>
        <v>360.67562173522555</v>
      </c>
      <c r="R28" s="44">
        <f t="shared" si="14"/>
        <v>1949.7381217352256</v>
      </c>
      <c r="S28" s="33">
        <f>MF_Outdoor!M24</f>
        <v>1294.7916666666667</v>
      </c>
      <c r="T28" s="33">
        <f>MF_Outdoor!N24</f>
        <v>360.67562173522555</v>
      </c>
      <c r="U28" s="44">
        <f t="shared" si="15"/>
        <v>1655.4672884018923</v>
      </c>
      <c r="W28" s="2" t="s">
        <v>24</v>
      </c>
      <c r="X28" s="195">
        <f t="shared" si="16"/>
        <v>613.68605000000002</v>
      </c>
      <c r="Y28" s="60">
        <f t="shared" si="9"/>
        <v>613.68605000000002</v>
      </c>
      <c r="Z28" s="61">
        <f t="shared" si="9"/>
        <v>613.68605000000002</v>
      </c>
      <c r="AA28" s="61">
        <f t="shared" si="9"/>
        <v>162.5930546592993</v>
      </c>
      <c r="AB28" s="64">
        <f t="shared" si="9"/>
        <v>776.27910465929938</v>
      </c>
      <c r="AC28" s="61">
        <f t="shared" si="9"/>
        <v>517.79760468749998</v>
      </c>
      <c r="AD28" s="61">
        <f t="shared" si="9"/>
        <v>162.5930546592993</v>
      </c>
      <c r="AE28" s="64">
        <f t="shared" si="9"/>
        <v>680.39065934679934</v>
      </c>
      <c r="AF28" s="61">
        <f t="shared" si="9"/>
        <v>421.909159375</v>
      </c>
      <c r="AG28" s="61">
        <f t="shared" si="9"/>
        <v>162.5930546592993</v>
      </c>
      <c r="AH28" s="64">
        <f t="shared" si="9"/>
        <v>584.5022140342993</v>
      </c>
      <c r="AI28" s="33">
        <f t="shared" si="9"/>
        <v>613.68605000000002</v>
      </c>
      <c r="AJ28" s="33">
        <f t="shared" si="9"/>
        <v>117.52651201804498</v>
      </c>
      <c r="AK28" s="44">
        <f t="shared" si="9"/>
        <v>731.21256201804499</v>
      </c>
      <c r="AL28" s="33">
        <f t="shared" si="9"/>
        <v>517.79760468749998</v>
      </c>
      <c r="AM28" s="33">
        <f t="shared" si="9"/>
        <v>117.52651201804498</v>
      </c>
      <c r="AN28" s="44">
        <f t="shared" si="9"/>
        <v>635.32411670554495</v>
      </c>
      <c r="AO28" s="33">
        <f t="shared" si="9"/>
        <v>421.909159375</v>
      </c>
      <c r="AP28" s="33">
        <f t="shared" si="9"/>
        <v>117.52651201804498</v>
      </c>
      <c r="AQ28" s="44">
        <f t="shared" si="9"/>
        <v>539.43567139304503</v>
      </c>
    </row>
    <row r="29" spans="1:43" x14ac:dyDescent="0.15">
      <c r="A29" s="2" t="s">
        <v>25</v>
      </c>
      <c r="B29" s="60">
        <f>MF_Outdoor!B25</f>
        <v>3000</v>
      </c>
      <c r="C29" s="195">
        <f>MF_Outdoor!B25</f>
        <v>3000</v>
      </c>
      <c r="D29" s="66">
        <f>MF_Outdoor!C25</f>
        <v>3000</v>
      </c>
      <c r="E29" s="66">
        <f>MF_Outdoor!D25</f>
        <v>1631.4307358739479</v>
      </c>
      <c r="F29" s="49">
        <f t="shared" si="10"/>
        <v>4631.4307358739479</v>
      </c>
      <c r="G29" s="27">
        <f>MF_Outdoor!E25</f>
        <v>2531.25</v>
      </c>
      <c r="H29" s="27">
        <f>MF_Outdoor!F25</f>
        <v>1631.4307358739479</v>
      </c>
      <c r="I29" s="49">
        <f t="shared" si="11"/>
        <v>4162.6807358739479</v>
      </c>
      <c r="J29" s="27">
        <f>MF_Outdoor!G25</f>
        <v>2062.5</v>
      </c>
      <c r="K29" s="27">
        <f>MF_Outdoor!H25</f>
        <v>1631.4307358739479</v>
      </c>
      <c r="L29" s="49">
        <f t="shared" si="12"/>
        <v>3693.9307358739479</v>
      </c>
      <c r="M29" s="33">
        <f>MF_Outdoor!I25</f>
        <v>3000</v>
      </c>
      <c r="N29" s="33">
        <f>MF_Outdoor!J25</f>
        <v>4523.7447652279989</v>
      </c>
      <c r="O29" s="44">
        <f t="shared" si="13"/>
        <v>7523.7447652279989</v>
      </c>
      <c r="P29" s="33">
        <f>MF_Outdoor!K25</f>
        <v>2531.25</v>
      </c>
      <c r="Q29" s="33">
        <f>MF_Outdoor!L25</f>
        <v>4523.7447652279989</v>
      </c>
      <c r="R29" s="44">
        <f t="shared" si="14"/>
        <v>7054.9947652279989</v>
      </c>
      <c r="S29" s="33">
        <f>MF_Outdoor!M25</f>
        <v>2062.5</v>
      </c>
      <c r="T29" s="33">
        <f>MF_Outdoor!N25</f>
        <v>4523.7447652279989</v>
      </c>
      <c r="U29" s="44">
        <f t="shared" si="15"/>
        <v>6586.2447652279989</v>
      </c>
      <c r="W29" s="2" t="s">
        <v>25</v>
      </c>
      <c r="X29" s="195">
        <f t="shared" si="16"/>
        <v>977.553</v>
      </c>
      <c r="Y29" s="60">
        <f t="shared" si="9"/>
        <v>977.553</v>
      </c>
      <c r="Z29" s="61">
        <f t="shared" si="9"/>
        <v>977.553</v>
      </c>
      <c r="AA29" s="61">
        <f t="shared" si="9"/>
        <v>531.60333671526178</v>
      </c>
      <c r="AB29" s="64">
        <f t="shared" si="9"/>
        <v>1509.1563367152617</v>
      </c>
      <c r="AC29" s="61">
        <f t="shared" si="9"/>
        <v>824.81034375000002</v>
      </c>
      <c r="AD29" s="61">
        <f t="shared" si="9"/>
        <v>531.60333671526178</v>
      </c>
      <c r="AE29" s="64">
        <f t="shared" si="9"/>
        <v>1356.4136804652617</v>
      </c>
      <c r="AF29" s="61">
        <f t="shared" si="9"/>
        <v>672.06768750000003</v>
      </c>
      <c r="AG29" s="61">
        <f t="shared" si="9"/>
        <v>531.60333671526178</v>
      </c>
      <c r="AH29" s="64">
        <f t="shared" si="9"/>
        <v>1203.6710242152617</v>
      </c>
      <c r="AI29" s="33">
        <f t="shared" si="9"/>
        <v>977.553</v>
      </c>
      <c r="AJ29" s="33">
        <f t="shared" si="9"/>
        <v>1474.0667554943086</v>
      </c>
      <c r="AK29" s="44">
        <f t="shared" si="9"/>
        <v>2451.6197554943083</v>
      </c>
      <c r="AL29" s="33">
        <f t="shared" si="9"/>
        <v>824.81034375000002</v>
      </c>
      <c r="AM29" s="33">
        <f t="shared" si="9"/>
        <v>1474.0667554943086</v>
      </c>
      <c r="AN29" s="44">
        <f t="shared" si="9"/>
        <v>2298.8770992443083</v>
      </c>
      <c r="AO29" s="33">
        <f t="shared" si="9"/>
        <v>672.06768750000003</v>
      </c>
      <c r="AP29" s="33">
        <f t="shared" si="9"/>
        <v>1474.0667554943086</v>
      </c>
      <c r="AQ29" s="44">
        <f t="shared" si="9"/>
        <v>2146.1344429943088</v>
      </c>
    </row>
    <row r="30" spans="1:43" x14ac:dyDescent="0.15">
      <c r="A30" s="2" t="s">
        <v>26</v>
      </c>
      <c r="B30" s="60">
        <f>MF_Outdoor!B26</f>
        <v>11283.333333333334</v>
      </c>
      <c r="C30" s="195">
        <f>MF_Outdoor!B26</f>
        <v>11283.333333333334</v>
      </c>
      <c r="D30" s="66">
        <f>MF_Outdoor!C26</f>
        <v>11283.333333333334</v>
      </c>
      <c r="E30" s="66">
        <f>MF_Outdoor!D26</f>
        <v>6375.8210537258219</v>
      </c>
      <c r="F30" s="49">
        <f t="shared" si="10"/>
        <v>17659.154387059156</v>
      </c>
      <c r="G30" s="27">
        <f>MF_Outdoor!E26</f>
        <v>9520.3125</v>
      </c>
      <c r="H30" s="27">
        <f>MF_Outdoor!F26</f>
        <v>6375.8210537258219</v>
      </c>
      <c r="I30" s="49">
        <f t="shared" si="11"/>
        <v>15896.133553725822</v>
      </c>
      <c r="J30" s="27">
        <f>MF_Outdoor!G26</f>
        <v>7757.2916666666661</v>
      </c>
      <c r="K30" s="27">
        <f>MF_Outdoor!H26</f>
        <v>6375.8210537258219</v>
      </c>
      <c r="L30" s="49">
        <f t="shared" si="12"/>
        <v>14133.112720392488</v>
      </c>
      <c r="M30" s="33">
        <f>MF_Outdoor!I26</f>
        <v>11283.333333333334</v>
      </c>
      <c r="N30" s="33">
        <f>MF_Outdoor!J26</f>
        <v>24970.236806734363</v>
      </c>
      <c r="O30" s="44">
        <f t="shared" si="13"/>
        <v>36253.570140067699</v>
      </c>
      <c r="P30" s="33">
        <f>MF_Outdoor!K26</f>
        <v>9520.3125</v>
      </c>
      <c r="Q30" s="33">
        <f>MF_Outdoor!L26</f>
        <v>24970.236806734363</v>
      </c>
      <c r="R30" s="44">
        <f t="shared" si="14"/>
        <v>34490.549306734363</v>
      </c>
      <c r="S30" s="33">
        <f>MF_Outdoor!M26</f>
        <v>7757.2916666666661</v>
      </c>
      <c r="T30" s="33">
        <f>MF_Outdoor!N26</f>
        <v>24970.236806734363</v>
      </c>
      <c r="U30" s="44">
        <f t="shared" si="15"/>
        <v>32727.528473401027</v>
      </c>
      <c r="W30" s="2" t="s">
        <v>26</v>
      </c>
      <c r="X30" s="195">
        <f t="shared" si="16"/>
        <v>3676.6854499999999</v>
      </c>
      <c r="Y30" s="60">
        <f t="shared" si="9"/>
        <v>3676.6854499999999</v>
      </c>
      <c r="Z30" s="61">
        <f t="shared" si="9"/>
        <v>3676.6854499999999</v>
      </c>
      <c r="AA30" s="61">
        <f t="shared" si="9"/>
        <v>2077.5676661776129</v>
      </c>
      <c r="AB30" s="64">
        <f t="shared" si="9"/>
        <v>5754.2531161776133</v>
      </c>
      <c r="AC30" s="61">
        <f t="shared" si="9"/>
        <v>3102.2033484375002</v>
      </c>
      <c r="AD30" s="61">
        <f t="shared" si="9"/>
        <v>2077.5676661776129</v>
      </c>
      <c r="AE30" s="64">
        <f t="shared" si="9"/>
        <v>5179.771014615113</v>
      </c>
      <c r="AF30" s="61">
        <f t="shared" si="9"/>
        <v>2527.7212468749999</v>
      </c>
      <c r="AG30" s="61">
        <f t="shared" si="9"/>
        <v>2077.5676661776129</v>
      </c>
      <c r="AH30" s="64">
        <f t="shared" si="9"/>
        <v>4605.2889130526119</v>
      </c>
      <c r="AI30" s="33">
        <f t="shared" si="9"/>
        <v>3676.6854499999999</v>
      </c>
      <c r="AJ30" s="33">
        <f t="shared" si="9"/>
        <v>8136.5766337111991</v>
      </c>
      <c r="AK30" s="44">
        <f t="shared" si="9"/>
        <v>11813.262083711201</v>
      </c>
      <c r="AL30" s="33">
        <f t="shared" si="9"/>
        <v>3102.2033484375002</v>
      </c>
      <c r="AM30" s="33">
        <f t="shared" si="9"/>
        <v>8136.5766337111991</v>
      </c>
      <c r="AN30" s="44">
        <f t="shared" si="9"/>
        <v>11238.779982148699</v>
      </c>
      <c r="AO30" s="33">
        <f t="shared" si="9"/>
        <v>2527.7212468749999</v>
      </c>
      <c r="AP30" s="33">
        <f t="shared" si="9"/>
        <v>8136.5766337111991</v>
      </c>
      <c r="AQ30" s="44">
        <f t="shared" si="9"/>
        <v>10664.297880586199</v>
      </c>
    </row>
    <row r="31" spans="1:43" x14ac:dyDescent="0.15">
      <c r="A31" s="2" t="s">
        <v>27</v>
      </c>
      <c r="B31" s="60">
        <f>MF_Outdoor!B27</f>
        <v>3150</v>
      </c>
      <c r="C31" s="195">
        <f>MF_Outdoor!B27</f>
        <v>3150</v>
      </c>
      <c r="D31" s="66">
        <f>MF_Outdoor!C27</f>
        <v>3150</v>
      </c>
      <c r="E31" s="66">
        <f>MF_Outdoor!D27</f>
        <v>1101.8233533937489</v>
      </c>
      <c r="F31" s="49">
        <f t="shared" si="10"/>
        <v>4251.8233533937491</v>
      </c>
      <c r="G31" s="27">
        <f>MF_Outdoor!E27</f>
        <v>2657.8125</v>
      </c>
      <c r="H31" s="27">
        <f>MF_Outdoor!F27</f>
        <v>1101.8233533937489</v>
      </c>
      <c r="I31" s="49">
        <f t="shared" si="11"/>
        <v>3759.6358533937491</v>
      </c>
      <c r="J31" s="27">
        <f>MF_Outdoor!G27</f>
        <v>2165.625</v>
      </c>
      <c r="K31" s="27">
        <f>MF_Outdoor!H27</f>
        <v>1101.8233533937489</v>
      </c>
      <c r="L31" s="49">
        <f t="shared" si="12"/>
        <v>3267.4483533937491</v>
      </c>
      <c r="M31" s="33">
        <f>MF_Outdoor!I27</f>
        <v>3150</v>
      </c>
      <c r="N31" s="33">
        <f>MF_Outdoor!J27</f>
        <v>3982.8946813095317</v>
      </c>
      <c r="O31" s="44">
        <f t="shared" si="13"/>
        <v>7132.8946813095317</v>
      </c>
      <c r="P31" s="33">
        <f>MF_Outdoor!K27</f>
        <v>2657.8125</v>
      </c>
      <c r="Q31" s="33">
        <f>MF_Outdoor!L27</f>
        <v>3982.8946813095317</v>
      </c>
      <c r="R31" s="44">
        <f t="shared" si="14"/>
        <v>6640.7071813095317</v>
      </c>
      <c r="S31" s="33">
        <f>MF_Outdoor!M27</f>
        <v>2165.625</v>
      </c>
      <c r="T31" s="33">
        <f>MF_Outdoor!N27</f>
        <v>3982.8946813095317</v>
      </c>
      <c r="U31" s="44">
        <f t="shared" si="15"/>
        <v>6148.5196813095317</v>
      </c>
      <c r="W31" s="2" t="s">
        <v>27</v>
      </c>
      <c r="X31" s="195">
        <f t="shared" si="16"/>
        <v>1026.43065</v>
      </c>
      <c r="Y31" s="60">
        <f t="shared" si="9"/>
        <v>1026.43065</v>
      </c>
      <c r="Z31" s="61">
        <f t="shared" si="9"/>
        <v>1026.43065</v>
      </c>
      <c r="AA31" s="61">
        <f t="shared" si="9"/>
        <v>359.03024152670645</v>
      </c>
      <c r="AB31" s="64">
        <f t="shared" si="9"/>
        <v>1385.4608915267065</v>
      </c>
      <c r="AC31" s="61">
        <f t="shared" si="9"/>
        <v>866.05086093750003</v>
      </c>
      <c r="AD31" s="61">
        <f t="shared" si="9"/>
        <v>359.03024152670645</v>
      </c>
      <c r="AE31" s="64">
        <f t="shared" si="9"/>
        <v>1225.0811024642064</v>
      </c>
      <c r="AF31" s="61">
        <f t="shared" si="9"/>
        <v>705.67107187500005</v>
      </c>
      <c r="AG31" s="61">
        <f t="shared" si="9"/>
        <v>359.03024152670645</v>
      </c>
      <c r="AH31" s="64">
        <f t="shared" si="9"/>
        <v>1064.7013134017066</v>
      </c>
      <c r="AI31" s="33">
        <f t="shared" si="9"/>
        <v>1026.43065</v>
      </c>
      <c r="AJ31" s="33">
        <f t="shared" si="9"/>
        <v>1297.8302147993923</v>
      </c>
      <c r="AK31" s="44">
        <f t="shared" si="9"/>
        <v>2324.260864799392</v>
      </c>
      <c r="AL31" s="33">
        <f t="shared" si="9"/>
        <v>866.05086093750003</v>
      </c>
      <c r="AM31" s="33">
        <f t="shared" si="9"/>
        <v>1297.8302147993923</v>
      </c>
      <c r="AN31" s="44">
        <f t="shared" si="9"/>
        <v>2163.8810757368924</v>
      </c>
      <c r="AO31" s="33">
        <f t="shared" si="9"/>
        <v>705.67107187500005</v>
      </c>
      <c r="AP31" s="33">
        <f t="shared" si="9"/>
        <v>1297.8302147993923</v>
      </c>
      <c r="AQ31" s="44">
        <f t="shared" si="9"/>
        <v>2003.5012866743923</v>
      </c>
    </row>
    <row r="32" spans="1:43" x14ac:dyDescent="0.15">
      <c r="A32" s="2" t="s">
        <v>28</v>
      </c>
      <c r="B32" s="60">
        <f>MF_Outdoor!B28</f>
        <v>2133.3333333333339</v>
      </c>
      <c r="C32" s="195">
        <f>MF_Outdoor!B28</f>
        <v>2133.3333333333339</v>
      </c>
      <c r="D32" s="66">
        <f>MF_Outdoor!C28</f>
        <v>2133.3333333333339</v>
      </c>
      <c r="E32" s="66">
        <f>MF_Outdoor!D28</f>
        <v>2480.9470627848841</v>
      </c>
      <c r="F32" s="49">
        <f t="shared" si="10"/>
        <v>4614.2803961182181</v>
      </c>
      <c r="G32" s="27">
        <f>MF_Outdoor!E28</f>
        <v>1800.0000000000005</v>
      </c>
      <c r="H32" s="27">
        <f>MF_Outdoor!F28</f>
        <v>2480.9470627848841</v>
      </c>
      <c r="I32" s="49">
        <f t="shared" si="11"/>
        <v>4280.9470627848841</v>
      </c>
      <c r="J32" s="27">
        <f>MF_Outdoor!G28</f>
        <v>1466.666666666667</v>
      </c>
      <c r="K32" s="27">
        <f>MF_Outdoor!H28</f>
        <v>2480.9470627848841</v>
      </c>
      <c r="L32" s="49">
        <f t="shared" si="12"/>
        <v>3947.6137294515511</v>
      </c>
      <c r="M32" s="33">
        <f>MF_Outdoor!I28</f>
        <v>2133.3333333333339</v>
      </c>
      <c r="N32" s="33">
        <f>MF_Outdoor!J28</f>
        <v>8291.227599463451</v>
      </c>
      <c r="O32" s="44">
        <f t="shared" si="13"/>
        <v>10424.560932796785</v>
      </c>
      <c r="P32" s="33">
        <f>MF_Outdoor!K28</f>
        <v>1800.0000000000005</v>
      </c>
      <c r="Q32" s="33">
        <f>MF_Outdoor!L28</f>
        <v>8291.227599463451</v>
      </c>
      <c r="R32" s="44">
        <f t="shared" si="14"/>
        <v>10091.227599463451</v>
      </c>
      <c r="S32" s="33">
        <f>MF_Outdoor!M28</f>
        <v>1466.666666666667</v>
      </c>
      <c r="T32" s="33">
        <f>MF_Outdoor!N28</f>
        <v>8291.227599463451</v>
      </c>
      <c r="U32" s="44">
        <f t="shared" si="15"/>
        <v>9757.8942661301189</v>
      </c>
      <c r="W32" s="2" t="s">
        <v>28</v>
      </c>
      <c r="X32" s="195">
        <f t="shared" si="16"/>
        <v>695.14880000000028</v>
      </c>
      <c r="Y32" s="60">
        <f t="shared" si="9"/>
        <v>695.14880000000028</v>
      </c>
      <c r="Z32" s="61">
        <f t="shared" si="9"/>
        <v>695.14880000000028</v>
      </c>
      <c r="AA32" s="61">
        <f t="shared" si="9"/>
        <v>808.41908135551728</v>
      </c>
      <c r="AB32" s="64">
        <f t="shared" si="9"/>
        <v>1503.5678813555173</v>
      </c>
      <c r="AC32" s="61">
        <f t="shared" si="9"/>
        <v>586.53180000000009</v>
      </c>
      <c r="AD32" s="61">
        <f t="shared" si="9"/>
        <v>808.41908135551728</v>
      </c>
      <c r="AE32" s="64">
        <f t="shared" si="9"/>
        <v>1394.9508813555174</v>
      </c>
      <c r="AF32" s="61">
        <f t="shared" si="9"/>
        <v>477.91480000000013</v>
      </c>
      <c r="AG32" s="61">
        <f t="shared" si="9"/>
        <v>808.41908135551728</v>
      </c>
      <c r="AH32" s="64">
        <f t="shared" si="9"/>
        <v>1286.3338813555174</v>
      </c>
      <c r="AI32" s="33">
        <f t="shared" si="9"/>
        <v>695.14880000000028</v>
      </c>
      <c r="AJ32" s="33">
        <f t="shared" si="9"/>
        <v>2701.7048045127649</v>
      </c>
      <c r="AK32" s="44">
        <f t="shared" si="9"/>
        <v>3396.8536045127653</v>
      </c>
      <c r="AL32" s="33">
        <f t="shared" si="9"/>
        <v>586.53180000000009</v>
      </c>
      <c r="AM32" s="33">
        <f t="shared" si="9"/>
        <v>2701.7048045127649</v>
      </c>
      <c r="AN32" s="44">
        <f t="shared" si="9"/>
        <v>3288.2366045127651</v>
      </c>
      <c r="AO32" s="33">
        <f t="shared" si="9"/>
        <v>477.91480000000013</v>
      </c>
      <c r="AP32" s="33">
        <f t="shared" si="9"/>
        <v>2701.7048045127649</v>
      </c>
      <c r="AQ32" s="44">
        <f t="shared" si="9"/>
        <v>3179.6196045127654</v>
      </c>
    </row>
    <row r="33" spans="1:43" s="67" customFormat="1" x14ac:dyDescent="0.15">
      <c r="A33" s="67" t="s">
        <v>3</v>
      </c>
      <c r="B33" s="68">
        <f>SUM(B24:B32)</f>
        <v>41533.333333333336</v>
      </c>
      <c r="C33" s="68">
        <f>SUM(C24:C32)</f>
        <v>41533.333333333336</v>
      </c>
      <c r="D33" s="68">
        <f>SUM(D24:D32)</f>
        <v>41533.333333333336</v>
      </c>
      <c r="E33" s="68">
        <f t="shared" ref="E33:L33" si="17">SUM(E24:E32)</f>
        <v>25837.967946992983</v>
      </c>
      <c r="F33" s="68">
        <f t="shared" si="17"/>
        <v>67371.301280326326</v>
      </c>
      <c r="G33" s="68">
        <f t="shared" si="17"/>
        <v>35043.75</v>
      </c>
      <c r="H33" s="68">
        <f t="shared" si="17"/>
        <v>25837.967946992983</v>
      </c>
      <c r="I33" s="68">
        <f t="shared" si="17"/>
        <v>60881.717946992991</v>
      </c>
      <c r="J33" s="68">
        <f t="shared" si="17"/>
        <v>28554.166666666668</v>
      </c>
      <c r="K33" s="68">
        <f t="shared" si="17"/>
        <v>25837.967946992983</v>
      </c>
      <c r="L33" s="68">
        <f t="shared" si="17"/>
        <v>54392.134613659655</v>
      </c>
      <c r="M33" s="68">
        <f>SUM(M24:M32)</f>
        <v>41533.333333333336</v>
      </c>
      <c r="N33" s="68">
        <f t="shared" ref="N33:U33" si="18">SUM(N24:N32)</f>
        <v>64111.859436917104</v>
      </c>
      <c r="O33" s="68">
        <f t="shared" si="18"/>
        <v>105645.19277025045</v>
      </c>
      <c r="P33" s="68">
        <f t="shared" si="18"/>
        <v>35043.75</v>
      </c>
      <c r="Q33" s="68">
        <f t="shared" si="18"/>
        <v>64111.859436917104</v>
      </c>
      <c r="R33" s="68">
        <f t="shared" si="18"/>
        <v>99155.609436917119</v>
      </c>
      <c r="S33" s="68">
        <f t="shared" si="18"/>
        <v>28554.166666666668</v>
      </c>
      <c r="T33" s="68">
        <f t="shared" si="18"/>
        <v>64111.859436917104</v>
      </c>
      <c r="U33" s="68">
        <f t="shared" si="18"/>
        <v>92666.026103583747</v>
      </c>
      <c r="W33" s="67" t="s">
        <v>3</v>
      </c>
      <c r="X33" s="68">
        <f t="shared" si="16"/>
        <v>13533.6782</v>
      </c>
      <c r="Y33" s="68">
        <f t="shared" si="9"/>
        <v>13533.6782</v>
      </c>
      <c r="Z33" s="68">
        <f t="shared" si="9"/>
        <v>13533.6782</v>
      </c>
      <c r="AA33" s="68">
        <f t="shared" si="9"/>
        <v>8419.3276934956102</v>
      </c>
      <c r="AB33" s="68">
        <f t="shared" si="9"/>
        <v>21953.005893495614</v>
      </c>
      <c r="AC33" s="68">
        <f t="shared" si="9"/>
        <v>11419.04098125</v>
      </c>
      <c r="AD33" s="68">
        <f t="shared" si="9"/>
        <v>8419.3276934956102</v>
      </c>
      <c r="AE33" s="68">
        <f t="shared" si="9"/>
        <v>19838.368674745612</v>
      </c>
      <c r="AF33" s="68">
        <f t="shared" si="9"/>
        <v>9304.4037625000001</v>
      </c>
      <c r="AG33" s="68">
        <f t="shared" si="9"/>
        <v>8419.3276934956102</v>
      </c>
      <c r="AH33" s="68">
        <f t="shared" si="9"/>
        <v>17723.731455995614</v>
      </c>
      <c r="AI33" s="68">
        <f t="shared" si="9"/>
        <v>13533.6782</v>
      </c>
      <c r="AJ33" s="68">
        <f t="shared" si="9"/>
        <v>20890.913509378875</v>
      </c>
      <c r="AK33" s="68">
        <f t="shared" si="9"/>
        <v>34424.591709378874</v>
      </c>
      <c r="AL33" s="68">
        <f t="shared" si="9"/>
        <v>11419.04098125</v>
      </c>
      <c r="AM33" s="68">
        <f t="shared" si="9"/>
        <v>20890.913509378875</v>
      </c>
      <c r="AN33" s="68">
        <f t="shared" si="9"/>
        <v>32309.954490628879</v>
      </c>
      <c r="AO33" s="68">
        <f t="shared" si="9"/>
        <v>9304.4037625000001</v>
      </c>
      <c r="AP33" s="68">
        <f t="shared" si="9"/>
        <v>20890.913509378875</v>
      </c>
      <c r="AQ33" s="68">
        <f t="shared" si="9"/>
        <v>30195.317271878866</v>
      </c>
    </row>
    <row r="35" spans="1:43" ht="15" x14ac:dyDescent="0.15">
      <c r="A35" s="6" t="s">
        <v>127</v>
      </c>
      <c r="B35" s="159" t="s">
        <v>34</v>
      </c>
      <c r="C35" s="159" t="s">
        <v>34</v>
      </c>
      <c r="D35" s="22" t="s">
        <v>34</v>
      </c>
      <c r="E35" s="22" t="s">
        <v>34</v>
      </c>
      <c r="F35" s="56" t="s">
        <v>34</v>
      </c>
      <c r="G35" s="22" t="s">
        <v>34</v>
      </c>
      <c r="H35" s="22" t="s">
        <v>34</v>
      </c>
      <c r="I35" s="56" t="s">
        <v>34</v>
      </c>
      <c r="J35" s="22" t="s">
        <v>34</v>
      </c>
      <c r="K35" s="22" t="s">
        <v>34</v>
      </c>
      <c r="L35" s="56" t="s">
        <v>34</v>
      </c>
      <c r="M35" s="15" t="s">
        <v>34</v>
      </c>
      <c r="N35" s="15" t="s">
        <v>34</v>
      </c>
      <c r="O35" s="65" t="s">
        <v>34</v>
      </c>
      <c r="P35" s="15" t="s">
        <v>34</v>
      </c>
      <c r="Q35" s="15" t="s">
        <v>34</v>
      </c>
      <c r="R35" s="65" t="s">
        <v>34</v>
      </c>
      <c r="S35" s="15" t="s">
        <v>34</v>
      </c>
      <c r="T35" s="15" t="s">
        <v>34</v>
      </c>
      <c r="U35" s="65" t="s">
        <v>34</v>
      </c>
      <c r="W35" s="6" t="s">
        <v>127</v>
      </c>
      <c r="X35" s="159" t="s">
        <v>34</v>
      </c>
      <c r="Y35" s="159" t="s">
        <v>34</v>
      </c>
      <c r="Z35" s="22" t="s">
        <v>34</v>
      </c>
      <c r="AA35" s="22" t="s">
        <v>34</v>
      </c>
      <c r="AB35" s="56" t="s">
        <v>34</v>
      </c>
      <c r="AC35" s="22" t="s">
        <v>34</v>
      </c>
      <c r="AD35" s="22" t="s">
        <v>34</v>
      </c>
      <c r="AE35" s="56" t="s">
        <v>34</v>
      </c>
      <c r="AF35" s="22" t="s">
        <v>34</v>
      </c>
      <c r="AG35" s="22" t="s">
        <v>34</v>
      </c>
      <c r="AH35" s="56" t="s">
        <v>34</v>
      </c>
      <c r="AI35" s="15" t="s">
        <v>34</v>
      </c>
      <c r="AJ35" s="15" t="s">
        <v>34</v>
      </c>
      <c r="AK35" s="65" t="s">
        <v>34</v>
      </c>
      <c r="AL35" s="15" t="s">
        <v>34</v>
      </c>
      <c r="AM35" s="15" t="s">
        <v>34</v>
      </c>
      <c r="AN35" s="65" t="s">
        <v>34</v>
      </c>
      <c r="AO35" s="15" t="s">
        <v>34</v>
      </c>
      <c r="AP35" s="15" t="s">
        <v>34</v>
      </c>
      <c r="AQ35" s="65" t="s">
        <v>34</v>
      </c>
    </row>
    <row r="36" spans="1:43" ht="30" x14ac:dyDescent="0.15">
      <c r="A36" s="6" t="s">
        <v>128</v>
      </c>
      <c r="B36" s="159" t="s">
        <v>107</v>
      </c>
      <c r="C36" s="159" t="s">
        <v>107</v>
      </c>
      <c r="D36" s="22" t="s">
        <v>107</v>
      </c>
      <c r="E36" s="22" t="s">
        <v>107</v>
      </c>
      <c r="F36" s="56" t="s">
        <v>107</v>
      </c>
      <c r="G36" s="22" t="s">
        <v>121</v>
      </c>
      <c r="H36" s="22" t="s">
        <v>121</v>
      </c>
      <c r="I36" s="56" t="s">
        <v>121</v>
      </c>
      <c r="J36" s="22" t="s">
        <v>130</v>
      </c>
      <c r="K36" s="22" t="s">
        <v>130</v>
      </c>
      <c r="L36" s="56" t="s">
        <v>130</v>
      </c>
      <c r="M36" s="15" t="s">
        <v>107</v>
      </c>
      <c r="N36" s="15" t="s">
        <v>107</v>
      </c>
      <c r="O36" s="65" t="s">
        <v>107</v>
      </c>
      <c r="P36" s="15" t="s">
        <v>121</v>
      </c>
      <c r="Q36" s="15" t="s">
        <v>121</v>
      </c>
      <c r="R36" s="65" t="s">
        <v>121</v>
      </c>
      <c r="S36" s="15" t="s">
        <v>130</v>
      </c>
      <c r="T36" s="15" t="s">
        <v>130</v>
      </c>
      <c r="U36" s="65" t="s">
        <v>130</v>
      </c>
      <c r="W36" s="6" t="s">
        <v>128</v>
      </c>
      <c r="X36" s="159" t="s">
        <v>107</v>
      </c>
      <c r="Y36" s="159" t="s">
        <v>107</v>
      </c>
      <c r="Z36" s="22" t="s">
        <v>107</v>
      </c>
      <c r="AA36" s="22" t="s">
        <v>107</v>
      </c>
      <c r="AB36" s="56" t="s">
        <v>107</v>
      </c>
      <c r="AC36" s="22" t="s">
        <v>121</v>
      </c>
      <c r="AD36" s="22" t="s">
        <v>121</v>
      </c>
      <c r="AE36" s="56" t="s">
        <v>121</v>
      </c>
      <c r="AF36" s="22" t="s">
        <v>130</v>
      </c>
      <c r="AG36" s="22" t="s">
        <v>130</v>
      </c>
      <c r="AH36" s="56" t="s">
        <v>130</v>
      </c>
      <c r="AI36" s="15" t="s">
        <v>107</v>
      </c>
      <c r="AJ36" s="15" t="s">
        <v>107</v>
      </c>
      <c r="AK36" s="65" t="s">
        <v>107</v>
      </c>
      <c r="AL36" s="15" t="s">
        <v>121</v>
      </c>
      <c r="AM36" s="15" t="s">
        <v>121</v>
      </c>
      <c r="AN36" s="65" t="s">
        <v>121</v>
      </c>
      <c r="AO36" s="15" t="s">
        <v>130</v>
      </c>
      <c r="AP36" s="15" t="s">
        <v>130</v>
      </c>
      <c r="AQ36" s="65" t="s">
        <v>130</v>
      </c>
    </row>
    <row r="37" spans="1:43" ht="30" x14ac:dyDescent="0.15">
      <c r="A37" s="6" t="s">
        <v>98</v>
      </c>
      <c r="B37" s="159" t="s">
        <v>131</v>
      </c>
      <c r="C37" s="159" t="s">
        <v>136</v>
      </c>
      <c r="D37" s="22" t="s">
        <v>100</v>
      </c>
      <c r="E37" s="22" t="s">
        <v>100</v>
      </c>
      <c r="F37" s="56" t="s">
        <v>100</v>
      </c>
      <c r="G37" s="22" t="s">
        <v>100</v>
      </c>
      <c r="H37" s="22" t="s">
        <v>100</v>
      </c>
      <c r="I37" s="56" t="s">
        <v>100</v>
      </c>
      <c r="J37" s="22" t="s">
        <v>100</v>
      </c>
      <c r="K37" s="22" t="s">
        <v>100</v>
      </c>
      <c r="L37" s="56" t="s">
        <v>100</v>
      </c>
      <c r="M37" s="15" t="s">
        <v>101</v>
      </c>
      <c r="N37" s="15" t="s">
        <v>101</v>
      </c>
      <c r="O37" s="65" t="s">
        <v>101</v>
      </c>
      <c r="P37" s="15" t="s">
        <v>101</v>
      </c>
      <c r="Q37" s="15" t="s">
        <v>101</v>
      </c>
      <c r="R37" s="65" t="s">
        <v>101</v>
      </c>
      <c r="S37" s="15" t="s">
        <v>101</v>
      </c>
      <c r="T37" s="15" t="s">
        <v>101</v>
      </c>
      <c r="U37" s="65" t="s">
        <v>101</v>
      </c>
      <c r="W37" s="6" t="s">
        <v>98</v>
      </c>
      <c r="X37" s="159" t="s">
        <v>131</v>
      </c>
      <c r="Y37" s="159" t="s">
        <v>136</v>
      </c>
      <c r="Z37" s="22" t="s">
        <v>100</v>
      </c>
      <c r="AA37" s="22" t="s">
        <v>100</v>
      </c>
      <c r="AB37" s="56" t="s">
        <v>100</v>
      </c>
      <c r="AC37" s="22" t="s">
        <v>100</v>
      </c>
      <c r="AD37" s="22" t="s">
        <v>100</v>
      </c>
      <c r="AE37" s="56" t="s">
        <v>100</v>
      </c>
      <c r="AF37" s="22" t="s">
        <v>100</v>
      </c>
      <c r="AG37" s="22" t="s">
        <v>100</v>
      </c>
      <c r="AH37" s="56" t="s">
        <v>100</v>
      </c>
      <c r="AI37" s="15" t="s">
        <v>101</v>
      </c>
      <c r="AJ37" s="15" t="s">
        <v>101</v>
      </c>
      <c r="AK37" s="65" t="s">
        <v>101</v>
      </c>
      <c r="AL37" s="15" t="s">
        <v>101</v>
      </c>
      <c r="AM37" s="15" t="s">
        <v>101</v>
      </c>
      <c r="AN37" s="65" t="s">
        <v>101</v>
      </c>
      <c r="AO37" s="15" t="s">
        <v>101</v>
      </c>
      <c r="AP37" s="15" t="s">
        <v>101</v>
      </c>
      <c r="AQ37" s="65" t="s">
        <v>101</v>
      </c>
    </row>
    <row r="38" spans="1:43" ht="15" x14ac:dyDescent="0.15">
      <c r="A38" s="6" t="s">
        <v>129</v>
      </c>
      <c r="B38" s="159" t="s">
        <v>99</v>
      </c>
      <c r="C38" s="159" t="s">
        <v>99</v>
      </c>
      <c r="D38" s="22" t="s">
        <v>99</v>
      </c>
      <c r="E38" s="22" t="s">
        <v>120</v>
      </c>
      <c r="F38" s="56" t="s">
        <v>3</v>
      </c>
      <c r="G38" s="22" t="s">
        <v>99</v>
      </c>
      <c r="H38" s="22" t="s">
        <v>120</v>
      </c>
      <c r="I38" s="56" t="s">
        <v>3</v>
      </c>
      <c r="J38" s="22" t="s">
        <v>99</v>
      </c>
      <c r="K38" s="22" t="s">
        <v>120</v>
      </c>
      <c r="L38" s="56" t="s">
        <v>3</v>
      </c>
      <c r="M38" s="15" t="s">
        <v>99</v>
      </c>
      <c r="N38" s="15" t="s">
        <v>120</v>
      </c>
      <c r="O38" s="65" t="s">
        <v>3</v>
      </c>
      <c r="P38" s="15" t="s">
        <v>99</v>
      </c>
      <c r="Q38" s="15" t="s">
        <v>120</v>
      </c>
      <c r="R38" s="65" t="s">
        <v>3</v>
      </c>
      <c r="S38" s="15" t="s">
        <v>99</v>
      </c>
      <c r="T38" s="15" t="s">
        <v>120</v>
      </c>
      <c r="U38" s="65" t="s">
        <v>3</v>
      </c>
      <c r="W38" s="6" t="s">
        <v>129</v>
      </c>
      <c r="X38" s="159" t="s">
        <v>99</v>
      </c>
      <c r="Y38" s="159" t="s">
        <v>99</v>
      </c>
      <c r="Z38" s="22" t="s">
        <v>99</v>
      </c>
      <c r="AA38" s="22" t="s">
        <v>120</v>
      </c>
      <c r="AB38" s="56" t="s">
        <v>3</v>
      </c>
      <c r="AC38" s="22" t="s">
        <v>99</v>
      </c>
      <c r="AD38" s="22" t="s">
        <v>120</v>
      </c>
      <c r="AE38" s="56" t="s">
        <v>3</v>
      </c>
      <c r="AF38" s="22" t="s">
        <v>99</v>
      </c>
      <c r="AG38" s="22" t="s">
        <v>120</v>
      </c>
      <c r="AH38" s="56" t="s">
        <v>3</v>
      </c>
      <c r="AI38" s="15" t="s">
        <v>99</v>
      </c>
      <c r="AJ38" s="15" t="s">
        <v>120</v>
      </c>
      <c r="AK38" s="65" t="s">
        <v>3</v>
      </c>
      <c r="AL38" s="15" t="s">
        <v>99</v>
      </c>
      <c r="AM38" s="15" t="s">
        <v>120</v>
      </c>
      <c r="AN38" s="65" t="s">
        <v>3</v>
      </c>
      <c r="AO38" s="15" t="s">
        <v>99</v>
      </c>
      <c r="AP38" s="15" t="s">
        <v>120</v>
      </c>
      <c r="AQ38" s="65" t="s">
        <v>3</v>
      </c>
    </row>
    <row r="39" spans="1:43" ht="15" x14ac:dyDescent="0.15">
      <c r="A39" s="6" t="s">
        <v>48</v>
      </c>
      <c r="B39" s="159" t="s">
        <v>108</v>
      </c>
      <c r="C39" s="159" t="s">
        <v>108</v>
      </c>
      <c r="D39" s="22" t="s">
        <v>108</v>
      </c>
      <c r="E39" s="22" t="s">
        <v>108</v>
      </c>
      <c r="F39" s="56" t="s">
        <v>108</v>
      </c>
      <c r="G39" s="22" t="s">
        <v>108</v>
      </c>
      <c r="H39" s="22" t="s">
        <v>108</v>
      </c>
      <c r="I39" s="56" t="s">
        <v>108</v>
      </c>
      <c r="J39" s="22" t="s">
        <v>108</v>
      </c>
      <c r="K39" s="22" t="s">
        <v>108</v>
      </c>
      <c r="L39" s="56" t="s">
        <v>108</v>
      </c>
      <c r="M39" s="15" t="s">
        <v>108</v>
      </c>
      <c r="N39" s="15" t="s">
        <v>108</v>
      </c>
      <c r="O39" s="65" t="s">
        <v>108</v>
      </c>
      <c r="P39" s="15" t="s">
        <v>108</v>
      </c>
      <c r="Q39" s="15" t="s">
        <v>108</v>
      </c>
      <c r="R39" s="65" t="s">
        <v>108</v>
      </c>
      <c r="S39" s="15" t="s">
        <v>108</v>
      </c>
      <c r="T39" s="15" t="s">
        <v>108</v>
      </c>
      <c r="U39" s="65" t="s">
        <v>108</v>
      </c>
      <c r="W39" s="6" t="s">
        <v>48</v>
      </c>
      <c r="X39" s="159" t="s">
        <v>134</v>
      </c>
      <c r="Y39" s="159" t="s">
        <v>134</v>
      </c>
      <c r="Z39" s="22" t="s">
        <v>134</v>
      </c>
      <c r="AA39" s="22" t="s">
        <v>134</v>
      </c>
      <c r="AB39" s="56" t="s">
        <v>134</v>
      </c>
      <c r="AC39" s="22" t="s">
        <v>134</v>
      </c>
      <c r="AD39" s="22" t="s">
        <v>134</v>
      </c>
      <c r="AE39" s="56" t="s">
        <v>134</v>
      </c>
      <c r="AF39" s="22" t="s">
        <v>134</v>
      </c>
      <c r="AG39" s="22" t="s">
        <v>134</v>
      </c>
      <c r="AH39" s="56" t="s">
        <v>134</v>
      </c>
      <c r="AI39" s="15" t="s">
        <v>134</v>
      </c>
      <c r="AJ39" s="15" t="s">
        <v>134</v>
      </c>
      <c r="AK39" s="65" t="s">
        <v>134</v>
      </c>
      <c r="AL39" s="15" t="s">
        <v>134</v>
      </c>
      <c r="AM39" s="15" t="s">
        <v>134</v>
      </c>
      <c r="AN39" s="65" t="s">
        <v>134</v>
      </c>
      <c r="AO39" s="15" t="s">
        <v>134</v>
      </c>
      <c r="AP39" s="15" t="s">
        <v>134</v>
      </c>
      <c r="AQ39" s="65" t="s">
        <v>134</v>
      </c>
    </row>
    <row r="40" spans="1:43" s="69" customFormat="1" x14ac:dyDescent="0.15">
      <c r="A40" s="73"/>
      <c r="B40" s="72"/>
      <c r="C40" s="72"/>
      <c r="D40" s="72"/>
      <c r="E40" s="72"/>
      <c r="F40" s="73"/>
      <c r="G40" s="72"/>
      <c r="H40" s="72"/>
      <c r="I40" s="73"/>
      <c r="J40" s="72"/>
      <c r="K40" s="72"/>
      <c r="L40" s="73"/>
      <c r="M40" s="72"/>
      <c r="N40" s="72"/>
      <c r="O40" s="73"/>
      <c r="P40" s="72"/>
      <c r="Q40" s="72"/>
      <c r="R40" s="73"/>
      <c r="S40" s="72"/>
      <c r="T40" s="72"/>
      <c r="U40" s="73"/>
      <c r="W40" s="70"/>
    </row>
    <row r="41" spans="1:43" x14ac:dyDescent="0.15">
      <c r="A41" s="2" t="s">
        <v>17</v>
      </c>
      <c r="B41" s="60">
        <f>B7+B24</f>
        <v>58483.333333333328</v>
      </c>
      <c r="C41" s="195">
        <f t="shared" ref="C41:U50" si="19">C7+C24</f>
        <v>67856.468545142998</v>
      </c>
      <c r="D41" s="66">
        <f t="shared" si="19"/>
        <v>67856.468545142998</v>
      </c>
      <c r="E41" s="66">
        <f t="shared" si="19"/>
        <v>16097.527874056794</v>
      </c>
      <c r="F41" s="49">
        <f t="shared" si="19"/>
        <v>83953.996419199786</v>
      </c>
      <c r="G41" s="27">
        <f t="shared" si="19"/>
        <v>57253.8953349644</v>
      </c>
      <c r="H41" s="27">
        <f t="shared" si="19"/>
        <v>16097.527874056794</v>
      </c>
      <c r="I41" s="49">
        <f t="shared" si="19"/>
        <v>73351.423209021188</v>
      </c>
      <c r="J41" s="27">
        <f t="shared" si="19"/>
        <v>46651.322124785809</v>
      </c>
      <c r="K41" s="27">
        <f t="shared" si="19"/>
        <v>16097.527874056794</v>
      </c>
      <c r="L41" s="49">
        <f t="shared" si="19"/>
        <v>62748.849998842605</v>
      </c>
      <c r="M41" s="33">
        <f t="shared" si="19"/>
        <v>67856.614453328351</v>
      </c>
      <c r="N41" s="33">
        <f t="shared" si="19"/>
        <v>11628.297334841</v>
      </c>
      <c r="O41" s="44">
        <f t="shared" si="19"/>
        <v>79484.911788169353</v>
      </c>
      <c r="P41" s="33">
        <f t="shared" si="19"/>
        <v>57254.018444995796</v>
      </c>
      <c r="Q41" s="33">
        <f t="shared" si="19"/>
        <v>11628.297334841</v>
      </c>
      <c r="R41" s="44">
        <f t="shared" si="19"/>
        <v>68882.31577983679</v>
      </c>
      <c r="S41" s="33">
        <f t="shared" si="19"/>
        <v>46651.422436663241</v>
      </c>
      <c r="T41" s="33">
        <f t="shared" si="19"/>
        <v>11628.297334841</v>
      </c>
      <c r="U41" s="44">
        <f t="shared" si="19"/>
        <v>58279.719771504242</v>
      </c>
      <c r="W41" s="2" t="s">
        <v>17</v>
      </c>
      <c r="X41" s="195">
        <f>(B41*325851)/10^6</f>
        <v>19056.852650000001</v>
      </c>
      <c r="Y41" s="60">
        <f t="shared" ref="Y41:AQ41" si="20">(C41*325851)/10^6</f>
        <v>22111.098131903393</v>
      </c>
      <c r="Z41" s="61">
        <f t="shared" si="20"/>
        <v>22111.098131903393</v>
      </c>
      <c r="AA41" s="61">
        <f t="shared" si="20"/>
        <v>5245.3955552892803</v>
      </c>
      <c r="AB41" s="64">
        <f t="shared" si="20"/>
        <v>27356.493687192669</v>
      </c>
      <c r="AC41" s="61">
        <f t="shared" si="20"/>
        <v>18656.239048793483</v>
      </c>
      <c r="AD41" s="61">
        <f t="shared" si="20"/>
        <v>5245.3955552892803</v>
      </c>
      <c r="AE41" s="64">
        <f t="shared" si="20"/>
        <v>23901.634604082763</v>
      </c>
      <c r="AF41" s="61">
        <f t="shared" si="20"/>
        <v>15201.37996568358</v>
      </c>
      <c r="AG41" s="61">
        <f t="shared" si="20"/>
        <v>5245.3955552892803</v>
      </c>
      <c r="AH41" s="64">
        <f t="shared" si="20"/>
        <v>20446.775520972864</v>
      </c>
      <c r="AI41" s="33">
        <f t="shared" si="20"/>
        <v>22111.145676231496</v>
      </c>
      <c r="AJ41" s="33">
        <f t="shared" si="20"/>
        <v>3789.0923148552747</v>
      </c>
      <c r="AK41" s="44">
        <f t="shared" si="20"/>
        <v>25900.237991086771</v>
      </c>
      <c r="AL41" s="33">
        <f t="shared" si="20"/>
        <v>18656.279164320324</v>
      </c>
      <c r="AM41" s="33">
        <f t="shared" si="20"/>
        <v>3789.0923148552747</v>
      </c>
      <c r="AN41" s="44">
        <f t="shared" si="20"/>
        <v>22445.371479175599</v>
      </c>
      <c r="AO41" s="33">
        <f t="shared" si="20"/>
        <v>15201.412652409153</v>
      </c>
      <c r="AP41" s="33">
        <f t="shared" si="20"/>
        <v>3789.0923148552747</v>
      </c>
      <c r="AQ41" s="44">
        <f t="shared" si="20"/>
        <v>18990.504967264427</v>
      </c>
    </row>
    <row r="42" spans="1:43" x14ac:dyDescent="0.15">
      <c r="A42" s="2" t="s">
        <v>21</v>
      </c>
      <c r="B42" s="60">
        <f t="shared" ref="B42:Q50" si="21">B8+B25</f>
        <v>59183.333333333328</v>
      </c>
      <c r="C42" s="195">
        <f t="shared" si="21"/>
        <v>74189.663522460614</v>
      </c>
      <c r="D42" s="66">
        <f t="shared" si="21"/>
        <v>74189.663522460614</v>
      </c>
      <c r="E42" s="66">
        <f t="shared" si="21"/>
        <v>16122.522950369184</v>
      </c>
      <c r="F42" s="49">
        <f t="shared" si="21"/>
        <v>90312.186472829795</v>
      </c>
      <c r="G42" s="27">
        <f t="shared" si="21"/>
        <v>62597.52859707614</v>
      </c>
      <c r="H42" s="27">
        <f t="shared" si="21"/>
        <v>16122.522950369184</v>
      </c>
      <c r="I42" s="49">
        <f t="shared" si="21"/>
        <v>78720.051547445328</v>
      </c>
      <c r="J42" s="27">
        <f t="shared" si="21"/>
        <v>51005.393671691672</v>
      </c>
      <c r="K42" s="27">
        <f t="shared" si="21"/>
        <v>16122.522950369184</v>
      </c>
      <c r="L42" s="49">
        <f t="shared" si="21"/>
        <v>67127.916622060846</v>
      </c>
      <c r="M42" s="33">
        <f t="shared" si="21"/>
        <v>74189.835497624561</v>
      </c>
      <c r="N42" s="33">
        <f t="shared" si="21"/>
        <v>12835.134889908777</v>
      </c>
      <c r="O42" s="44">
        <f t="shared" si="21"/>
        <v>87024.970387533336</v>
      </c>
      <c r="P42" s="33">
        <f t="shared" si="21"/>
        <v>62597.673701120715</v>
      </c>
      <c r="Q42" s="33">
        <f t="shared" si="21"/>
        <v>12835.134889908777</v>
      </c>
      <c r="R42" s="44">
        <f t="shared" si="19"/>
        <v>75432.80859102949</v>
      </c>
      <c r="S42" s="33">
        <f t="shared" si="19"/>
        <v>51005.511904616884</v>
      </c>
      <c r="T42" s="33">
        <f t="shared" si="19"/>
        <v>12835.134889908777</v>
      </c>
      <c r="U42" s="44">
        <f t="shared" si="19"/>
        <v>63840.646794525659</v>
      </c>
      <c r="W42" s="2" t="s">
        <v>21</v>
      </c>
      <c r="X42" s="195">
        <f t="shared" ref="X42:X50" si="22">(B42*325851)/10^6</f>
        <v>19284.948349999999</v>
      </c>
      <c r="Y42" s="60">
        <f t="shared" ref="Y42:Y50" si="23">(C42*325851)/10^6</f>
        <v>24174.776048457312</v>
      </c>
      <c r="Z42" s="61">
        <f t="shared" ref="Z42:Z50" si="24">(D42*325851)/10^6</f>
        <v>24174.776048457312</v>
      </c>
      <c r="AA42" s="61">
        <f t="shared" ref="AA42:AA50" si="25">(E42*325851)/10^6</f>
        <v>5253.5402259007496</v>
      </c>
      <c r="AB42" s="64">
        <f t="shared" ref="AB42:AB50" si="26">(F42*325851)/10^6</f>
        <v>29428.316274358061</v>
      </c>
      <c r="AC42" s="61">
        <f t="shared" ref="AC42:AC50" si="27">(G42*325851)/10^6</f>
        <v>20397.467290885856</v>
      </c>
      <c r="AD42" s="61">
        <f t="shared" ref="AD42:AD50" si="28">(H42*325851)/10^6</f>
        <v>5253.5402259007496</v>
      </c>
      <c r="AE42" s="64">
        <f t="shared" ref="AE42:AE50" si="29">(I42*325851)/10^6</f>
        <v>25651.007516786605</v>
      </c>
      <c r="AF42" s="61">
        <f t="shared" ref="AF42:AF50" si="30">(J42*325851)/10^6</f>
        <v>16620.158533314403</v>
      </c>
      <c r="AG42" s="61">
        <f t="shared" ref="AG42:AG50" si="31">(K42*325851)/10^6</f>
        <v>5253.5402259007496</v>
      </c>
      <c r="AH42" s="64">
        <f t="shared" ref="AH42:AH50" si="32">(L42*325851)/10^6</f>
        <v>21873.698759215149</v>
      </c>
      <c r="AI42" s="33">
        <f t="shared" ref="AI42:AI50" si="33">(M42*325851)/10^6</f>
        <v>24174.83208673646</v>
      </c>
      <c r="AJ42" s="33">
        <f t="shared" ref="AJ42:AJ50" si="34">(N42*325851)/10^6</f>
        <v>4182.3415390116652</v>
      </c>
      <c r="AK42" s="44">
        <f t="shared" ref="AK42:AK50" si="35">(O42*325851)/10^6</f>
        <v>28357.173625748128</v>
      </c>
      <c r="AL42" s="33">
        <f t="shared" ref="AL42:AL50" si="36">(P42*325851)/10^6</f>
        <v>20397.514573183889</v>
      </c>
      <c r="AM42" s="33">
        <f t="shared" ref="AM42:AM50" si="37">(Q42*325851)/10^6</f>
        <v>4182.3415390116652</v>
      </c>
      <c r="AN42" s="44">
        <f t="shared" ref="AN42:AN50" si="38">(R42*325851)/10^6</f>
        <v>24579.85611219555</v>
      </c>
      <c r="AO42" s="33">
        <f t="shared" ref="AO42:AO50" si="39">(S42*325851)/10^6</f>
        <v>16620.197059631319</v>
      </c>
      <c r="AP42" s="33">
        <f t="shared" ref="AP42:AP50" si="40">(T42*325851)/10^6</f>
        <v>4182.3415390116652</v>
      </c>
      <c r="AQ42" s="44">
        <f t="shared" ref="AQ42:AQ50" si="41">(U42*325851)/10^6</f>
        <v>20802.538598642979</v>
      </c>
    </row>
    <row r="43" spans="1:43" x14ac:dyDescent="0.15">
      <c r="A43" s="2" t="s">
        <v>22</v>
      </c>
      <c r="B43" s="60">
        <f t="shared" si="21"/>
        <v>8466.6666666666661</v>
      </c>
      <c r="C43" s="195">
        <f t="shared" si="19"/>
        <v>11975.874324942744</v>
      </c>
      <c r="D43" s="66">
        <f t="shared" si="19"/>
        <v>11975.874324942744</v>
      </c>
      <c r="E43" s="66">
        <f t="shared" si="19"/>
        <v>1957.1055071208586</v>
      </c>
      <c r="F43" s="49">
        <f t="shared" si="19"/>
        <v>13932.979832063604</v>
      </c>
      <c r="G43" s="27">
        <f t="shared" si="19"/>
        <v>10104.643961670439</v>
      </c>
      <c r="H43" s="27">
        <f t="shared" si="19"/>
        <v>1957.1055071208586</v>
      </c>
      <c r="I43" s="49">
        <f t="shared" si="19"/>
        <v>12061.749468791297</v>
      </c>
      <c r="J43" s="27">
        <f t="shared" si="19"/>
        <v>8233.4135983981359</v>
      </c>
      <c r="K43" s="27">
        <f t="shared" si="19"/>
        <v>1957.1055071208586</v>
      </c>
      <c r="L43" s="49">
        <f t="shared" si="19"/>
        <v>10190.519105518993</v>
      </c>
      <c r="M43" s="33">
        <f t="shared" si="19"/>
        <v>11975.903535417847</v>
      </c>
      <c r="N43" s="33">
        <f t="shared" si="19"/>
        <v>1233.1513678140022</v>
      </c>
      <c r="O43" s="44">
        <f t="shared" si="19"/>
        <v>13209.054903231849</v>
      </c>
      <c r="P43" s="33">
        <f t="shared" si="19"/>
        <v>10104.668608008807</v>
      </c>
      <c r="Q43" s="33">
        <f t="shared" si="19"/>
        <v>1233.1513678140022</v>
      </c>
      <c r="R43" s="44">
        <f t="shared" si="19"/>
        <v>11337.819975822811</v>
      </c>
      <c r="S43" s="33">
        <f t="shared" si="19"/>
        <v>8233.43368059977</v>
      </c>
      <c r="T43" s="33">
        <f t="shared" si="19"/>
        <v>1233.1513678140022</v>
      </c>
      <c r="U43" s="44">
        <f t="shared" si="19"/>
        <v>9466.5850484137718</v>
      </c>
      <c r="W43" s="2" t="s">
        <v>22</v>
      </c>
      <c r="X43" s="195">
        <f t="shared" si="22"/>
        <v>2758.8717999999999</v>
      </c>
      <c r="Y43" s="60">
        <f t="shared" si="23"/>
        <v>3902.3506246569182</v>
      </c>
      <c r="Z43" s="61">
        <f t="shared" si="24"/>
        <v>3902.3506246569182</v>
      </c>
      <c r="AA43" s="61">
        <f t="shared" si="25"/>
        <v>637.72478660083891</v>
      </c>
      <c r="AB43" s="64">
        <f t="shared" si="26"/>
        <v>4540.075411257757</v>
      </c>
      <c r="AC43" s="61">
        <f t="shared" si="27"/>
        <v>3292.6083395542742</v>
      </c>
      <c r="AD43" s="61">
        <f t="shared" si="28"/>
        <v>637.72478660083891</v>
      </c>
      <c r="AE43" s="64">
        <f t="shared" si="29"/>
        <v>3930.333126155113</v>
      </c>
      <c r="AF43" s="61">
        <f t="shared" si="30"/>
        <v>2682.866054451631</v>
      </c>
      <c r="AG43" s="61">
        <f t="shared" si="31"/>
        <v>637.72478660083891</v>
      </c>
      <c r="AH43" s="64">
        <f t="shared" si="32"/>
        <v>3320.5908410524698</v>
      </c>
      <c r="AI43" s="33">
        <f t="shared" si="33"/>
        <v>3902.3601429194409</v>
      </c>
      <c r="AJ43" s="33">
        <f t="shared" si="34"/>
        <v>401.82360635356042</v>
      </c>
      <c r="AK43" s="44">
        <f t="shared" si="35"/>
        <v>4304.183749273001</v>
      </c>
      <c r="AL43" s="33">
        <f t="shared" si="36"/>
        <v>3292.6163705882777</v>
      </c>
      <c r="AM43" s="33">
        <f t="shared" si="37"/>
        <v>401.82360635356042</v>
      </c>
      <c r="AN43" s="44">
        <f t="shared" si="38"/>
        <v>3694.4399769418387</v>
      </c>
      <c r="AO43" s="33">
        <f t="shared" si="39"/>
        <v>2682.8725982571159</v>
      </c>
      <c r="AP43" s="33">
        <f t="shared" si="40"/>
        <v>401.82360635356042</v>
      </c>
      <c r="AQ43" s="44">
        <f t="shared" si="41"/>
        <v>3084.696204610676</v>
      </c>
    </row>
    <row r="44" spans="1:43" x14ac:dyDescent="0.15">
      <c r="A44" s="2" t="s">
        <v>23</v>
      </c>
      <c r="B44" s="60">
        <f t="shared" si="21"/>
        <v>7366.666666666667</v>
      </c>
      <c r="C44" s="195">
        <f t="shared" si="19"/>
        <v>10660.223942773331</v>
      </c>
      <c r="D44" s="66">
        <f t="shared" si="19"/>
        <v>10660.223942773331</v>
      </c>
      <c r="E44" s="66">
        <f t="shared" si="19"/>
        <v>4967.4299781827967</v>
      </c>
      <c r="F44" s="49">
        <f t="shared" si="19"/>
        <v>15627.653920956127</v>
      </c>
      <c r="G44" s="27">
        <f t="shared" si="19"/>
        <v>8994.5639517149975</v>
      </c>
      <c r="H44" s="27">
        <f t="shared" si="19"/>
        <v>4967.4299781827967</v>
      </c>
      <c r="I44" s="49">
        <f t="shared" si="19"/>
        <v>13961.993929897795</v>
      </c>
      <c r="J44" s="27">
        <f t="shared" si="19"/>
        <v>7328.9039606566639</v>
      </c>
      <c r="K44" s="27">
        <f t="shared" si="19"/>
        <v>4967.4299781827967</v>
      </c>
      <c r="L44" s="49">
        <f t="shared" si="19"/>
        <v>12296.333938839462</v>
      </c>
      <c r="M44" s="33">
        <f t="shared" si="19"/>
        <v>10660.247600520854</v>
      </c>
      <c r="N44" s="33">
        <f t="shared" si="19"/>
        <v>2593.7616209999696</v>
      </c>
      <c r="O44" s="44">
        <f t="shared" si="19"/>
        <v>13254.009221520822</v>
      </c>
      <c r="P44" s="33">
        <f t="shared" si="19"/>
        <v>8994.5839129394699</v>
      </c>
      <c r="Q44" s="33">
        <f t="shared" si="19"/>
        <v>2593.7616209999696</v>
      </c>
      <c r="R44" s="44">
        <f t="shared" si="19"/>
        <v>11588.345533939439</v>
      </c>
      <c r="S44" s="33">
        <f t="shared" si="19"/>
        <v>7328.9202253580861</v>
      </c>
      <c r="T44" s="33">
        <f t="shared" si="19"/>
        <v>2593.7616209999696</v>
      </c>
      <c r="U44" s="44">
        <f t="shared" si="19"/>
        <v>9922.6818463580566</v>
      </c>
      <c r="W44" s="2" t="s">
        <v>23</v>
      </c>
      <c r="X44" s="195">
        <f t="shared" si="22"/>
        <v>2400.4357</v>
      </c>
      <c r="Y44" s="60">
        <f t="shared" si="23"/>
        <v>3473.6446319766328</v>
      </c>
      <c r="Z44" s="61">
        <f t="shared" si="24"/>
        <v>3473.6446319766328</v>
      </c>
      <c r="AA44" s="61">
        <f t="shared" si="25"/>
        <v>1618.6420258208425</v>
      </c>
      <c r="AB44" s="64">
        <f t="shared" si="26"/>
        <v>5092.2866577974746</v>
      </c>
      <c r="AC44" s="61">
        <f t="shared" si="27"/>
        <v>2930.8876582302837</v>
      </c>
      <c r="AD44" s="61">
        <f t="shared" si="28"/>
        <v>1618.6420258208425</v>
      </c>
      <c r="AE44" s="64">
        <f t="shared" si="29"/>
        <v>4549.5296840511264</v>
      </c>
      <c r="AF44" s="61">
        <f t="shared" si="30"/>
        <v>2388.1306844839346</v>
      </c>
      <c r="AG44" s="61">
        <f t="shared" si="31"/>
        <v>1618.6420258208425</v>
      </c>
      <c r="AH44" s="64">
        <f t="shared" si="32"/>
        <v>4006.7727103047778</v>
      </c>
      <c r="AI44" s="33">
        <f t="shared" si="33"/>
        <v>3473.652340877321</v>
      </c>
      <c r="AJ44" s="33">
        <f t="shared" si="34"/>
        <v>845.17981796446111</v>
      </c>
      <c r="AK44" s="44">
        <f t="shared" si="35"/>
        <v>4318.8321588417812</v>
      </c>
      <c r="AL44" s="33">
        <f t="shared" si="36"/>
        <v>2930.8941626152391</v>
      </c>
      <c r="AM44" s="33">
        <f t="shared" si="37"/>
        <v>845.17981796446111</v>
      </c>
      <c r="AN44" s="44">
        <f t="shared" si="38"/>
        <v>3776.0739805797002</v>
      </c>
      <c r="AO44" s="33">
        <f t="shared" si="39"/>
        <v>2388.1359843531577</v>
      </c>
      <c r="AP44" s="33">
        <f t="shared" si="40"/>
        <v>845.17981796446111</v>
      </c>
      <c r="AQ44" s="44">
        <f t="shared" si="41"/>
        <v>3233.3158023176193</v>
      </c>
    </row>
    <row r="45" spans="1:43" x14ac:dyDescent="0.15">
      <c r="A45" s="2" t="s">
        <v>24</v>
      </c>
      <c r="B45" s="60">
        <f t="shared" si="21"/>
        <v>6866.6666666666661</v>
      </c>
      <c r="C45" s="195">
        <f t="shared" si="19"/>
        <v>5648.7031699597137</v>
      </c>
      <c r="D45" s="66">
        <f t="shared" si="19"/>
        <v>5648.7031699597137</v>
      </c>
      <c r="E45" s="66">
        <f t="shared" si="19"/>
        <v>586.24860247761785</v>
      </c>
      <c r="F45" s="49">
        <f t="shared" si="19"/>
        <v>6234.9517724373309</v>
      </c>
      <c r="G45" s="27">
        <f t="shared" si="19"/>
        <v>4766.0932996535075</v>
      </c>
      <c r="H45" s="27">
        <f t="shared" si="19"/>
        <v>586.24860247761785</v>
      </c>
      <c r="I45" s="49">
        <f t="shared" si="19"/>
        <v>5352.3419021311256</v>
      </c>
      <c r="J45" s="27">
        <f t="shared" si="19"/>
        <v>3883.4834293473023</v>
      </c>
      <c r="K45" s="27">
        <f t="shared" si="19"/>
        <v>586.24860247761785</v>
      </c>
      <c r="L45" s="49">
        <f t="shared" si="19"/>
        <v>4469.7320318249203</v>
      </c>
      <c r="M45" s="33">
        <f t="shared" si="19"/>
        <v>5648.7128243679745</v>
      </c>
      <c r="N45" s="33">
        <f t="shared" si="19"/>
        <v>367.29429686255588</v>
      </c>
      <c r="O45" s="44">
        <f t="shared" si="19"/>
        <v>6016.0071212305302</v>
      </c>
      <c r="P45" s="33">
        <f t="shared" si="19"/>
        <v>4766.1014455604782</v>
      </c>
      <c r="Q45" s="33">
        <f t="shared" si="19"/>
        <v>367.29429686255588</v>
      </c>
      <c r="R45" s="44">
        <f t="shared" si="19"/>
        <v>5133.3957424230339</v>
      </c>
      <c r="S45" s="33">
        <f t="shared" si="19"/>
        <v>3883.4900667529819</v>
      </c>
      <c r="T45" s="33">
        <f t="shared" si="19"/>
        <v>367.29429686255588</v>
      </c>
      <c r="U45" s="44">
        <f t="shared" si="19"/>
        <v>4250.7843636155376</v>
      </c>
      <c r="W45" s="2" t="s">
        <v>24</v>
      </c>
      <c r="X45" s="195">
        <f t="shared" si="22"/>
        <v>2237.5102000000002</v>
      </c>
      <c r="Y45" s="60">
        <f t="shared" si="23"/>
        <v>1840.6355766345428</v>
      </c>
      <c r="Z45" s="61">
        <f t="shared" si="24"/>
        <v>1840.6355766345428</v>
      </c>
      <c r="AA45" s="61">
        <f t="shared" si="25"/>
        <v>191.02969336593426</v>
      </c>
      <c r="AB45" s="64">
        <f t="shared" si="26"/>
        <v>2031.6652700004765</v>
      </c>
      <c r="AC45" s="61">
        <f t="shared" si="27"/>
        <v>1553.0362677853952</v>
      </c>
      <c r="AD45" s="61">
        <f t="shared" si="28"/>
        <v>191.02969336593426</v>
      </c>
      <c r="AE45" s="64">
        <f t="shared" si="29"/>
        <v>1744.0659611513295</v>
      </c>
      <c r="AF45" s="61">
        <f t="shared" si="30"/>
        <v>1265.4369589362477</v>
      </c>
      <c r="AG45" s="61">
        <f t="shared" si="31"/>
        <v>191.02969336593426</v>
      </c>
      <c r="AH45" s="64">
        <f t="shared" si="32"/>
        <v>1456.4666523021822</v>
      </c>
      <c r="AI45" s="33">
        <f t="shared" si="33"/>
        <v>1840.6387225331287</v>
      </c>
      <c r="AJ45" s="33">
        <f t="shared" si="34"/>
        <v>119.68321392696069</v>
      </c>
      <c r="AK45" s="44">
        <f t="shared" si="35"/>
        <v>1960.3219364600895</v>
      </c>
      <c r="AL45" s="33">
        <f t="shared" si="36"/>
        <v>1553.0389221373275</v>
      </c>
      <c r="AM45" s="33">
        <f t="shared" si="37"/>
        <v>119.68321392696069</v>
      </c>
      <c r="AN45" s="44">
        <f t="shared" si="38"/>
        <v>1672.722136064288</v>
      </c>
      <c r="AO45" s="33">
        <f t="shared" si="39"/>
        <v>1265.4391217415259</v>
      </c>
      <c r="AP45" s="33">
        <f t="shared" si="40"/>
        <v>119.68321392696069</v>
      </c>
      <c r="AQ45" s="44">
        <f t="shared" si="41"/>
        <v>1385.1223356684866</v>
      </c>
    </row>
    <row r="46" spans="1:43" x14ac:dyDescent="0.15">
      <c r="A46" s="2" t="s">
        <v>25</v>
      </c>
      <c r="B46" s="60">
        <f t="shared" si="21"/>
        <v>22316.666666666668</v>
      </c>
      <c r="C46" s="195">
        <f t="shared" si="19"/>
        <v>34352.154652894416</v>
      </c>
      <c r="D46" s="66">
        <f t="shared" si="19"/>
        <v>34352.154652894416</v>
      </c>
      <c r="E46" s="66">
        <f t="shared" si="19"/>
        <v>7501.7052591259826</v>
      </c>
      <c r="F46" s="49">
        <f t="shared" si="19"/>
        <v>41853.859912020394</v>
      </c>
      <c r="G46" s="27">
        <f t="shared" si="19"/>
        <v>28984.630488379666</v>
      </c>
      <c r="H46" s="27">
        <f t="shared" si="19"/>
        <v>7501.7052591259826</v>
      </c>
      <c r="I46" s="49">
        <f t="shared" si="19"/>
        <v>36486.335747505647</v>
      </c>
      <c r="J46" s="27">
        <f t="shared" si="19"/>
        <v>23617.106323864911</v>
      </c>
      <c r="K46" s="27">
        <f t="shared" si="19"/>
        <v>7501.7052591259826</v>
      </c>
      <c r="L46" s="49">
        <f t="shared" si="19"/>
        <v>31118.811582990893</v>
      </c>
      <c r="M46" s="33">
        <f t="shared" si="19"/>
        <v>34352.235039818945</v>
      </c>
      <c r="N46" s="33">
        <f t="shared" si="19"/>
        <v>6563.0780998319742</v>
      </c>
      <c r="O46" s="44">
        <f t="shared" si="19"/>
        <v>40915.313139650927</v>
      </c>
      <c r="P46" s="33">
        <f t="shared" si="19"/>
        <v>28984.698314847239</v>
      </c>
      <c r="Q46" s="33">
        <f t="shared" si="19"/>
        <v>6563.0780998319742</v>
      </c>
      <c r="R46" s="44">
        <f t="shared" si="19"/>
        <v>35547.776414679218</v>
      </c>
      <c r="S46" s="33">
        <f t="shared" si="19"/>
        <v>23617.16158987553</v>
      </c>
      <c r="T46" s="33">
        <f t="shared" si="19"/>
        <v>6563.0780998319742</v>
      </c>
      <c r="U46" s="44">
        <f t="shared" si="19"/>
        <v>30180.239689707505</v>
      </c>
      <c r="W46" s="2" t="s">
        <v>25</v>
      </c>
      <c r="X46" s="195">
        <f t="shared" si="22"/>
        <v>7271.9081500000002</v>
      </c>
      <c r="Y46" s="60">
        <f t="shared" si="23"/>
        <v>11193.683945800298</v>
      </c>
      <c r="Z46" s="61">
        <f t="shared" si="24"/>
        <v>11193.683945800298</v>
      </c>
      <c r="AA46" s="61">
        <f t="shared" si="25"/>
        <v>2444.4381603914603</v>
      </c>
      <c r="AB46" s="64">
        <f t="shared" si="26"/>
        <v>13638.122106191757</v>
      </c>
      <c r="AC46" s="61">
        <f t="shared" si="27"/>
        <v>9444.6708292690037</v>
      </c>
      <c r="AD46" s="61">
        <f t="shared" si="28"/>
        <v>2444.4381603914603</v>
      </c>
      <c r="AE46" s="64">
        <f t="shared" si="29"/>
        <v>11889.108989660463</v>
      </c>
      <c r="AF46" s="61">
        <f t="shared" si="30"/>
        <v>7695.657712737705</v>
      </c>
      <c r="AG46" s="61">
        <f t="shared" si="31"/>
        <v>2444.4381603914603</v>
      </c>
      <c r="AH46" s="64">
        <f t="shared" si="32"/>
        <v>10140.095873129165</v>
      </c>
      <c r="AI46" s="33">
        <f t="shared" si="33"/>
        <v>11193.710139960043</v>
      </c>
      <c r="AJ46" s="33">
        <f t="shared" si="34"/>
        <v>2138.5855619083486</v>
      </c>
      <c r="AK46" s="44">
        <f t="shared" si="35"/>
        <v>13332.295701868396</v>
      </c>
      <c r="AL46" s="33">
        <f t="shared" si="36"/>
        <v>9444.6929305912872</v>
      </c>
      <c r="AM46" s="33">
        <f t="shared" si="37"/>
        <v>2138.5855619083486</v>
      </c>
      <c r="AN46" s="44">
        <f t="shared" si="38"/>
        <v>11583.278492499638</v>
      </c>
      <c r="AO46" s="33">
        <f t="shared" si="39"/>
        <v>7695.6757212225311</v>
      </c>
      <c r="AP46" s="33">
        <f t="shared" si="40"/>
        <v>2138.5855619083486</v>
      </c>
      <c r="AQ46" s="44">
        <f t="shared" si="41"/>
        <v>9834.2612831308797</v>
      </c>
    </row>
    <row r="47" spans="1:43" x14ac:dyDescent="0.15">
      <c r="A47" s="2" t="s">
        <v>26</v>
      </c>
      <c r="B47" s="60">
        <f t="shared" si="21"/>
        <v>78433.333333333314</v>
      </c>
      <c r="C47" s="195">
        <f t="shared" si="19"/>
        <v>111353.71732117001</v>
      </c>
      <c r="D47" s="66">
        <f t="shared" si="19"/>
        <v>111353.71732117001</v>
      </c>
      <c r="E47" s="66">
        <f t="shared" si="19"/>
        <v>40096.296889237434</v>
      </c>
      <c r="F47" s="49">
        <f t="shared" si="19"/>
        <v>151450.01421040745</v>
      </c>
      <c r="G47" s="27">
        <f t="shared" si="19"/>
        <v>93954.698989737197</v>
      </c>
      <c r="H47" s="27">
        <f t="shared" si="19"/>
        <v>40096.296889237434</v>
      </c>
      <c r="I47" s="49">
        <f t="shared" si="19"/>
        <v>134050.99587897462</v>
      </c>
      <c r="J47" s="27">
        <f t="shared" si="19"/>
        <v>76555.68065830438</v>
      </c>
      <c r="K47" s="27">
        <f t="shared" si="19"/>
        <v>40096.296889237434</v>
      </c>
      <c r="L47" s="49">
        <f t="shared" si="19"/>
        <v>116651.9775475418</v>
      </c>
      <c r="M47" s="33">
        <f t="shared" si="19"/>
        <v>111353.97390163457</v>
      </c>
      <c r="N47" s="33">
        <f t="shared" si="19"/>
        <v>31390.02736688147</v>
      </c>
      <c r="O47" s="44">
        <f t="shared" si="19"/>
        <v>142744.00126851603</v>
      </c>
      <c r="P47" s="33">
        <f t="shared" si="19"/>
        <v>93954.915479504154</v>
      </c>
      <c r="Q47" s="33">
        <f t="shared" si="19"/>
        <v>31390.02736688147</v>
      </c>
      <c r="R47" s="44">
        <f t="shared" si="19"/>
        <v>125344.94284638563</v>
      </c>
      <c r="S47" s="33">
        <f t="shared" si="19"/>
        <v>76555.857057373767</v>
      </c>
      <c r="T47" s="33">
        <f t="shared" si="19"/>
        <v>31390.02736688147</v>
      </c>
      <c r="U47" s="44">
        <f t="shared" si="19"/>
        <v>107945.88442425523</v>
      </c>
      <c r="W47" s="2" t="s">
        <v>26</v>
      </c>
      <c r="X47" s="195">
        <f t="shared" si="22"/>
        <v>25557.580099999992</v>
      </c>
      <c r="Y47" s="60">
        <f t="shared" si="23"/>
        <v>36284.720142820574</v>
      </c>
      <c r="Z47" s="61">
        <f t="shared" si="24"/>
        <v>36284.720142820574</v>
      </c>
      <c r="AA47" s="61">
        <f t="shared" si="25"/>
        <v>13065.418437654907</v>
      </c>
      <c r="AB47" s="64">
        <f t="shared" si="26"/>
        <v>49350.138580475483</v>
      </c>
      <c r="AC47" s="61">
        <f t="shared" si="27"/>
        <v>30615.232620504856</v>
      </c>
      <c r="AD47" s="61">
        <f t="shared" si="28"/>
        <v>13065.418437654907</v>
      </c>
      <c r="AE47" s="64">
        <f t="shared" si="29"/>
        <v>43680.651058159761</v>
      </c>
      <c r="AF47" s="61">
        <f t="shared" si="30"/>
        <v>24945.745098189142</v>
      </c>
      <c r="AG47" s="61">
        <f t="shared" si="31"/>
        <v>13065.418437654907</v>
      </c>
      <c r="AH47" s="64">
        <f t="shared" si="32"/>
        <v>38011.16353584404</v>
      </c>
      <c r="AI47" s="33">
        <f t="shared" si="33"/>
        <v>36284.803749821527</v>
      </c>
      <c r="AJ47" s="33">
        <f t="shared" si="34"/>
        <v>10228.471807525693</v>
      </c>
      <c r="AK47" s="44">
        <f t="shared" si="35"/>
        <v>46513.275557347224</v>
      </c>
      <c r="AL47" s="33">
        <f t="shared" si="36"/>
        <v>30615.303163911907</v>
      </c>
      <c r="AM47" s="33">
        <f t="shared" si="37"/>
        <v>10228.471807525693</v>
      </c>
      <c r="AN47" s="44">
        <f t="shared" si="38"/>
        <v>40843.774971437604</v>
      </c>
      <c r="AO47" s="33">
        <f t="shared" si="39"/>
        <v>24945.802578002302</v>
      </c>
      <c r="AP47" s="33">
        <f t="shared" si="40"/>
        <v>10228.471807525693</v>
      </c>
      <c r="AQ47" s="44">
        <f t="shared" si="41"/>
        <v>35174.274385527991</v>
      </c>
    </row>
    <row r="48" spans="1:43" x14ac:dyDescent="0.15">
      <c r="A48" s="2" t="s">
        <v>27</v>
      </c>
      <c r="B48" s="60">
        <f t="shared" si="21"/>
        <v>22166.666666666664</v>
      </c>
      <c r="C48" s="195">
        <f t="shared" si="19"/>
        <v>34006.645379341062</v>
      </c>
      <c r="D48" s="66">
        <f t="shared" si="19"/>
        <v>34006.645379341062</v>
      </c>
      <c r="E48" s="66">
        <f t="shared" si="19"/>
        <v>2020.5430870562777</v>
      </c>
      <c r="F48" s="49">
        <f t="shared" si="19"/>
        <v>36027.18846639734</v>
      </c>
      <c r="G48" s="27">
        <f t="shared" si="19"/>
        <v>28693.107038819024</v>
      </c>
      <c r="H48" s="27">
        <f t="shared" si="19"/>
        <v>2020.5430870562777</v>
      </c>
      <c r="I48" s="49">
        <f t="shared" si="19"/>
        <v>30713.650125875301</v>
      </c>
      <c r="J48" s="27">
        <f t="shared" si="19"/>
        <v>23379.568698296982</v>
      </c>
      <c r="K48" s="27">
        <f t="shared" si="19"/>
        <v>2020.5430870562777</v>
      </c>
      <c r="L48" s="49">
        <f t="shared" si="19"/>
        <v>25400.11178535326</v>
      </c>
      <c r="M48" s="33">
        <f t="shared" si="19"/>
        <v>34006.724495779818</v>
      </c>
      <c r="N48" s="33">
        <f t="shared" si="19"/>
        <v>4257.7125468589629</v>
      </c>
      <c r="O48" s="44">
        <f t="shared" si="19"/>
        <v>38264.437042638776</v>
      </c>
      <c r="P48" s="33">
        <f t="shared" si="19"/>
        <v>28693.173793314221</v>
      </c>
      <c r="Q48" s="33">
        <f t="shared" si="19"/>
        <v>4257.7125468589629</v>
      </c>
      <c r="R48" s="44">
        <f t="shared" si="19"/>
        <v>32950.88634017318</v>
      </c>
      <c r="S48" s="33">
        <f t="shared" si="19"/>
        <v>23379.623090848625</v>
      </c>
      <c r="T48" s="33">
        <f t="shared" si="19"/>
        <v>4257.7125468589629</v>
      </c>
      <c r="U48" s="44">
        <f t="shared" si="19"/>
        <v>27637.335637707587</v>
      </c>
      <c r="W48" s="2" t="s">
        <v>27</v>
      </c>
      <c r="X48" s="195">
        <f t="shared" si="22"/>
        <v>7223.0304999999989</v>
      </c>
      <c r="Y48" s="60">
        <f t="shared" si="23"/>
        <v>11081.099403503664</v>
      </c>
      <c r="Z48" s="61">
        <f t="shared" si="24"/>
        <v>11081.099403503664</v>
      </c>
      <c r="AA48" s="61">
        <f t="shared" si="25"/>
        <v>658.39598546037519</v>
      </c>
      <c r="AB48" s="64">
        <f t="shared" si="26"/>
        <v>11739.495388964038</v>
      </c>
      <c r="AC48" s="61">
        <f t="shared" si="27"/>
        <v>9349.6776217062161</v>
      </c>
      <c r="AD48" s="61">
        <f t="shared" si="28"/>
        <v>658.39598546037519</v>
      </c>
      <c r="AE48" s="64">
        <f t="shared" si="29"/>
        <v>10008.073607166594</v>
      </c>
      <c r="AF48" s="61">
        <f t="shared" si="30"/>
        <v>7618.2558399087693</v>
      </c>
      <c r="AG48" s="61">
        <f t="shared" si="31"/>
        <v>658.39598546037519</v>
      </c>
      <c r="AH48" s="64">
        <f t="shared" si="32"/>
        <v>8276.6518253691447</v>
      </c>
      <c r="AI48" s="33">
        <f t="shared" si="33"/>
        <v>11081.125183674349</v>
      </c>
      <c r="AJ48" s="33">
        <f t="shared" si="34"/>
        <v>1387.3798911065401</v>
      </c>
      <c r="AK48" s="44">
        <f t="shared" si="35"/>
        <v>12468.505074780887</v>
      </c>
      <c r="AL48" s="33">
        <f t="shared" si="36"/>
        <v>9349.6993737252324</v>
      </c>
      <c r="AM48" s="33">
        <f t="shared" si="37"/>
        <v>1387.3798911065401</v>
      </c>
      <c r="AN48" s="44">
        <f t="shared" si="38"/>
        <v>10737.079264831769</v>
      </c>
      <c r="AO48" s="33">
        <f t="shared" si="39"/>
        <v>7618.2735637761152</v>
      </c>
      <c r="AP48" s="33">
        <f t="shared" si="40"/>
        <v>1387.3798911065401</v>
      </c>
      <c r="AQ48" s="44">
        <f t="shared" si="41"/>
        <v>9005.6534548826548</v>
      </c>
    </row>
    <row r="49" spans="1:43" x14ac:dyDescent="0.15">
      <c r="A49" s="2" t="s">
        <v>28</v>
      </c>
      <c r="B49" s="60">
        <f t="shared" si="21"/>
        <v>19650</v>
      </c>
      <c r="C49" s="195">
        <f t="shared" si="19"/>
        <v>31360.435956679299</v>
      </c>
      <c r="D49" s="66">
        <f t="shared" si="19"/>
        <v>31360.435956679299</v>
      </c>
      <c r="E49" s="66">
        <f t="shared" si="19"/>
        <v>5105.8015645492387</v>
      </c>
      <c r="F49" s="49">
        <f t="shared" si="19"/>
        <v>36466.237521228541</v>
      </c>
      <c r="G49" s="27">
        <f t="shared" si="19"/>
        <v>26460.367838448161</v>
      </c>
      <c r="H49" s="27">
        <f t="shared" si="19"/>
        <v>5105.8015645492387</v>
      </c>
      <c r="I49" s="49">
        <f t="shared" si="19"/>
        <v>31566.169402997402</v>
      </c>
      <c r="J49" s="27">
        <f t="shared" si="19"/>
        <v>21560.299720217023</v>
      </c>
      <c r="K49" s="27">
        <f t="shared" si="19"/>
        <v>5105.8015645492387</v>
      </c>
      <c r="L49" s="49">
        <f t="shared" si="19"/>
        <v>26666.101284766261</v>
      </c>
      <c r="M49" s="33">
        <f t="shared" si="19"/>
        <v>31360.51089497043</v>
      </c>
      <c r="N49" s="33">
        <f t="shared" si="19"/>
        <v>9973.3084060637211</v>
      </c>
      <c r="O49" s="44">
        <f t="shared" si="19"/>
        <v>41333.819301034149</v>
      </c>
      <c r="P49" s="33">
        <f t="shared" si="19"/>
        <v>26460.4310676313</v>
      </c>
      <c r="Q49" s="33">
        <f t="shared" si="19"/>
        <v>9973.3084060637211</v>
      </c>
      <c r="R49" s="44">
        <f t="shared" si="19"/>
        <v>36433.739473695023</v>
      </c>
      <c r="S49" s="33">
        <f t="shared" si="19"/>
        <v>21560.351240292173</v>
      </c>
      <c r="T49" s="33">
        <f t="shared" si="19"/>
        <v>9973.3084060637211</v>
      </c>
      <c r="U49" s="44">
        <f t="shared" si="19"/>
        <v>31533.659646355893</v>
      </c>
      <c r="W49" s="2" t="s">
        <v>28</v>
      </c>
      <c r="X49" s="195">
        <f t="shared" si="22"/>
        <v>6402.9721499999996</v>
      </c>
      <c r="Y49" s="60">
        <f t="shared" si="23"/>
        <v>10218.829416919907</v>
      </c>
      <c r="Z49" s="61">
        <f t="shared" si="24"/>
        <v>10218.829416919907</v>
      </c>
      <c r="AA49" s="61">
        <f t="shared" si="25"/>
        <v>1663.7305456099341</v>
      </c>
      <c r="AB49" s="64">
        <f t="shared" si="26"/>
        <v>11882.55996252984</v>
      </c>
      <c r="AC49" s="61">
        <f t="shared" si="27"/>
        <v>8622.1373205261716</v>
      </c>
      <c r="AD49" s="61">
        <f t="shared" si="28"/>
        <v>1663.7305456099341</v>
      </c>
      <c r="AE49" s="64">
        <f t="shared" si="29"/>
        <v>10285.867866136106</v>
      </c>
      <c r="AF49" s="61">
        <f t="shared" si="30"/>
        <v>7025.445224132437</v>
      </c>
      <c r="AG49" s="61">
        <f t="shared" si="31"/>
        <v>1663.7305456099341</v>
      </c>
      <c r="AH49" s="64">
        <f t="shared" si="32"/>
        <v>8689.1757697423709</v>
      </c>
      <c r="AI49" s="33">
        <f t="shared" si="33"/>
        <v>10218.853835637008</v>
      </c>
      <c r="AJ49" s="33">
        <f t="shared" si="34"/>
        <v>3249.8125174242696</v>
      </c>
      <c r="AK49" s="44">
        <f t="shared" si="35"/>
        <v>13468.666353061279</v>
      </c>
      <c r="AL49" s="33">
        <f t="shared" si="36"/>
        <v>8622.1579238187278</v>
      </c>
      <c r="AM49" s="33">
        <f t="shared" si="37"/>
        <v>3249.8125174242696</v>
      </c>
      <c r="AN49" s="44">
        <f t="shared" si="38"/>
        <v>11871.970441242996</v>
      </c>
      <c r="AO49" s="33">
        <f t="shared" si="39"/>
        <v>7025.4620120004456</v>
      </c>
      <c r="AP49" s="33">
        <f t="shared" si="40"/>
        <v>3249.8125174242696</v>
      </c>
      <c r="AQ49" s="44">
        <f t="shared" si="41"/>
        <v>10275.274529424712</v>
      </c>
    </row>
    <row r="50" spans="1:43" s="74" customFormat="1" x14ac:dyDescent="0.15">
      <c r="A50" s="67" t="s">
        <v>3</v>
      </c>
      <c r="B50" s="68">
        <f t="shared" si="21"/>
        <v>282933.33333333326</v>
      </c>
      <c r="C50" s="68">
        <f t="shared" si="19"/>
        <v>381403.88681536412</v>
      </c>
      <c r="D50" s="170">
        <f t="shared" si="19"/>
        <v>381403.88681536412</v>
      </c>
      <c r="E50" s="170">
        <f t="shared" si="19"/>
        <v>94455.181712176185</v>
      </c>
      <c r="F50" s="68">
        <f t="shared" si="19"/>
        <v>475859.06852754037</v>
      </c>
      <c r="G50" s="170">
        <f t="shared" si="19"/>
        <v>321809.52950046357</v>
      </c>
      <c r="H50" s="170">
        <f t="shared" si="19"/>
        <v>94455.181712176185</v>
      </c>
      <c r="I50" s="68">
        <f t="shared" si="19"/>
        <v>416264.7112126397</v>
      </c>
      <c r="J50" s="170">
        <f t="shared" si="19"/>
        <v>262215.1721855629</v>
      </c>
      <c r="K50" s="170">
        <f t="shared" si="19"/>
        <v>94455.181712176185</v>
      </c>
      <c r="L50" s="68">
        <f t="shared" si="19"/>
        <v>356670.35389773903</v>
      </c>
      <c r="M50" s="170">
        <f t="shared" si="19"/>
        <v>381404.75824346335</v>
      </c>
      <c r="N50" s="170">
        <f t="shared" si="19"/>
        <v>80841.765930062422</v>
      </c>
      <c r="O50" s="68">
        <f t="shared" si="19"/>
        <v>462246.52417352574</v>
      </c>
      <c r="P50" s="170">
        <f t="shared" si="19"/>
        <v>321810.26476792223</v>
      </c>
      <c r="Q50" s="170">
        <f t="shared" si="19"/>
        <v>80841.765930062422</v>
      </c>
      <c r="R50" s="68">
        <f t="shared" si="19"/>
        <v>402652.03069798462</v>
      </c>
      <c r="S50" s="170">
        <f t="shared" si="19"/>
        <v>262215.77129238105</v>
      </c>
      <c r="T50" s="170">
        <f t="shared" si="19"/>
        <v>80841.765930062422</v>
      </c>
      <c r="U50" s="68">
        <f t="shared" si="19"/>
        <v>343057.5372224435</v>
      </c>
      <c r="W50" s="67" t="s">
        <v>3</v>
      </c>
      <c r="X50" s="68">
        <f t="shared" si="22"/>
        <v>92194.109599999967</v>
      </c>
      <c r="Y50" s="68">
        <f t="shared" si="23"/>
        <v>124280.83792267322</v>
      </c>
      <c r="Z50" s="68">
        <f t="shared" si="24"/>
        <v>124280.83792267322</v>
      </c>
      <c r="AA50" s="68">
        <f t="shared" si="25"/>
        <v>30778.315416094323</v>
      </c>
      <c r="AB50" s="68">
        <f t="shared" si="26"/>
        <v>155059.15333876756</v>
      </c>
      <c r="AC50" s="68">
        <f t="shared" si="27"/>
        <v>104861.95699725555</v>
      </c>
      <c r="AD50" s="68">
        <f t="shared" si="28"/>
        <v>30778.315416094323</v>
      </c>
      <c r="AE50" s="68">
        <f t="shared" si="29"/>
        <v>135640.27241334986</v>
      </c>
      <c r="AF50" s="68">
        <f t="shared" si="30"/>
        <v>85443.076071837859</v>
      </c>
      <c r="AG50" s="68">
        <f t="shared" si="31"/>
        <v>30778.315416094323</v>
      </c>
      <c r="AH50" s="68">
        <f t="shared" si="32"/>
        <v>116221.39148793215</v>
      </c>
      <c r="AI50" s="68">
        <f t="shared" si="33"/>
        <v>124281.12187839078</v>
      </c>
      <c r="AJ50" s="68">
        <f t="shared" si="34"/>
        <v>26342.370270076772</v>
      </c>
      <c r="AK50" s="68">
        <f t="shared" si="35"/>
        <v>150623.49214846754</v>
      </c>
      <c r="AL50" s="68">
        <f t="shared" si="36"/>
        <v>104862.19658489223</v>
      </c>
      <c r="AM50" s="68">
        <f t="shared" si="37"/>
        <v>26342.370270076772</v>
      </c>
      <c r="AN50" s="68">
        <f t="shared" si="38"/>
        <v>131204.56685496899</v>
      </c>
      <c r="AO50" s="68">
        <f t="shared" si="39"/>
        <v>85443.271291393656</v>
      </c>
      <c r="AP50" s="68">
        <f t="shared" si="40"/>
        <v>26342.370270076772</v>
      </c>
      <c r="AQ50" s="68">
        <f t="shared" si="41"/>
        <v>111785.64156147045</v>
      </c>
    </row>
    <row r="51" spans="1:43" x14ac:dyDescent="0.15">
      <c r="A51"/>
      <c r="F51"/>
      <c r="I51"/>
      <c r="L51"/>
      <c r="O51"/>
      <c r="R51"/>
      <c r="U51"/>
      <c r="V51"/>
      <c r="W51"/>
    </row>
    <row r="56" spans="1:43" x14ac:dyDescent="0.15">
      <c r="W56"/>
    </row>
    <row r="57" spans="1:43" x14ac:dyDescent="0.15">
      <c r="W57"/>
    </row>
    <row r="58" spans="1:43" x14ac:dyDescent="0.15">
      <c r="W58"/>
    </row>
    <row r="59" spans="1:43" x14ac:dyDescent="0.15">
      <c r="W59"/>
    </row>
    <row r="60" spans="1:43" x14ac:dyDescent="0.15">
      <c r="W60"/>
    </row>
    <row r="61" spans="1:43" x14ac:dyDescent="0.15">
      <c r="W61"/>
    </row>
    <row r="62" spans="1:43" x14ac:dyDescent="0.15">
      <c r="W62"/>
    </row>
    <row r="63" spans="1:43" x14ac:dyDescent="0.15">
      <c r="W63"/>
    </row>
    <row r="64" spans="1:43" x14ac:dyDescent="0.15">
      <c r="W64"/>
    </row>
    <row r="65" spans="12:23" x14ac:dyDescent="0.15">
      <c r="W65"/>
    </row>
    <row r="66" spans="12:23" x14ac:dyDescent="0.15">
      <c r="L66"/>
      <c r="O66"/>
      <c r="R66"/>
      <c r="U66"/>
      <c r="W66"/>
    </row>
    <row r="67" spans="12:23" x14ac:dyDescent="0.15">
      <c r="L67"/>
      <c r="O67"/>
      <c r="R67"/>
      <c r="U67"/>
      <c r="W67"/>
    </row>
    <row r="68" spans="12:23" x14ac:dyDescent="0.15">
      <c r="L68"/>
      <c r="O68"/>
      <c r="R68"/>
      <c r="U68"/>
      <c r="W68"/>
    </row>
    <row r="69" spans="12:23" x14ac:dyDescent="0.15">
      <c r="L69"/>
      <c r="O69"/>
      <c r="R69"/>
      <c r="U69"/>
      <c r="W69"/>
    </row>
    <row r="70" spans="12:23" x14ac:dyDescent="0.15">
      <c r="L70"/>
      <c r="O70"/>
      <c r="R70"/>
      <c r="U70"/>
      <c r="V70" s="70"/>
      <c r="W70"/>
    </row>
    <row r="71" spans="12:23" x14ac:dyDescent="0.15">
      <c r="L71"/>
      <c r="O71"/>
      <c r="R71"/>
      <c r="U71"/>
      <c r="W71"/>
    </row>
    <row r="72" spans="12:23" x14ac:dyDescent="0.15">
      <c r="L72"/>
      <c r="O72"/>
      <c r="R72"/>
      <c r="U72"/>
      <c r="W72"/>
    </row>
    <row r="73" spans="12:23" x14ac:dyDescent="0.15">
      <c r="L73"/>
      <c r="O73"/>
      <c r="R73"/>
      <c r="U73"/>
      <c r="W73"/>
    </row>
    <row r="74" spans="12:23" x14ac:dyDescent="0.15">
      <c r="L74"/>
      <c r="O74"/>
      <c r="R74"/>
      <c r="U74"/>
      <c r="W74"/>
    </row>
    <row r="75" spans="12:23" x14ac:dyDescent="0.15">
      <c r="L75"/>
      <c r="O75"/>
      <c r="R75"/>
      <c r="U75"/>
      <c r="W75"/>
    </row>
    <row r="76" spans="12:23" x14ac:dyDescent="0.15">
      <c r="L76"/>
      <c r="O76"/>
      <c r="R76"/>
      <c r="U76"/>
      <c r="W76"/>
    </row>
    <row r="77" spans="12:23" x14ac:dyDescent="0.15">
      <c r="L77"/>
      <c r="O77"/>
      <c r="R77"/>
      <c r="U77"/>
      <c r="W77"/>
    </row>
    <row r="78" spans="12:23" x14ac:dyDescent="0.15">
      <c r="L78"/>
      <c r="O78"/>
      <c r="R78"/>
      <c r="U78"/>
      <c r="W78"/>
    </row>
    <row r="79" spans="12:23" x14ac:dyDescent="0.15">
      <c r="L79"/>
      <c r="O79"/>
      <c r="R79"/>
      <c r="U79"/>
      <c r="W79"/>
    </row>
    <row r="80" spans="12:23" x14ac:dyDescent="0.15">
      <c r="L80"/>
      <c r="O80"/>
      <c r="R80"/>
      <c r="U80"/>
      <c r="V80" s="71"/>
      <c r="W80"/>
    </row>
    <row r="81" spans="11:23" x14ac:dyDescent="0.15">
      <c r="L81"/>
      <c r="O81"/>
      <c r="R81"/>
      <c r="U81"/>
      <c r="V81" s="71"/>
      <c r="W81"/>
    </row>
    <row r="82" spans="11:23" x14ac:dyDescent="0.15">
      <c r="L82"/>
      <c r="O82"/>
      <c r="R82"/>
      <c r="U82"/>
      <c r="V82" s="71"/>
      <c r="W82"/>
    </row>
    <row r="83" spans="11:23" x14ac:dyDescent="0.15">
      <c r="K83" s="21"/>
      <c r="L83" s="21"/>
      <c r="N83" s="21"/>
      <c r="O83" s="21"/>
      <c r="Q83" s="21"/>
      <c r="R83" s="21"/>
      <c r="W83"/>
    </row>
    <row r="84" spans="11:23" x14ac:dyDescent="0.15">
      <c r="K84" s="21"/>
      <c r="L84" s="21"/>
      <c r="N84" s="21"/>
      <c r="O84" s="21"/>
      <c r="Q84" s="21"/>
      <c r="R84" s="21"/>
      <c r="W84"/>
    </row>
    <row r="85" spans="11:23" x14ac:dyDescent="0.15">
      <c r="K85" s="21"/>
      <c r="L85" s="21"/>
      <c r="N85" s="21"/>
      <c r="O85" s="21"/>
      <c r="Q85" s="21"/>
      <c r="R85" s="21"/>
      <c r="V85" s="71"/>
      <c r="W85"/>
    </row>
    <row r="86" spans="11:23" x14ac:dyDescent="0.15">
      <c r="K86" s="21"/>
      <c r="L86" s="21"/>
      <c r="N86" s="21"/>
      <c r="O86" s="21"/>
      <c r="Q86" s="21"/>
      <c r="R86" s="21"/>
      <c r="V86" s="71"/>
      <c r="W86"/>
    </row>
    <row r="87" spans="11:23" x14ac:dyDescent="0.15">
      <c r="K87" s="21"/>
      <c r="L87" s="21"/>
      <c r="V87" s="71"/>
      <c r="W87"/>
    </row>
    <row r="88" spans="11:23" x14ac:dyDescent="0.15">
      <c r="K88" s="21"/>
      <c r="L88" s="21"/>
      <c r="V88" s="71"/>
      <c r="W88"/>
    </row>
    <row r="89" spans="11:23" x14ac:dyDescent="0.15">
      <c r="L89"/>
      <c r="N89" s="21"/>
      <c r="O89" s="21"/>
      <c r="P89" s="21"/>
      <c r="Q89" s="21"/>
      <c r="R89" s="21"/>
      <c r="V89" s="71"/>
      <c r="W89"/>
    </row>
    <row r="90" spans="11:23" x14ac:dyDescent="0.15">
      <c r="L90"/>
      <c r="N90" s="21"/>
      <c r="O90" s="21"/>
      <c r="Q90" s="21"/>
      <c r="R90" s="21"/>
      <c r="V90" s="71"/>
      <c r="W90"/>
    </row>
    <row r="91" spans="11:23" x14ac:dyDescent="0.15">
      <c r="L91"/>
      <c r="N91" s="21"/>
      <c r="O91" s="21"/>
      <c r="Q91" s="21"/>
      <c r="R91" s="21"/>
      <c r="V91" s="71"/>
    </row>
    <row r="92" spans="11:23" x14ac:dyDescent="0.15">
      <c r="N92" s="21"/>
      <c r="O92" s="21"/>
      <c r="Q92" s="21"/>
      <c r="R92" s="21"/>
      <c r="V92" s="71"/>
    </row>
    <row r="93" spans="11:23" x14ac:dyDescent="0.15">
      <c r="N93" s="21"/>
      <c r="O93" s="21"/>
      <c r="Q93" s="21"/>
      <c r="R93" s="21"/>
    </row>
    <row r="94" spans="11:23" x14ac:dyDescent="0.15">
      <c r="N94" s="21"/>
      <c r="O94" s="21"/>
      <c r="Q94" s="21"/>
      <c r="R94" s="21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4" tint="0.39997558519241921"/>
  </sheetPr>
  <dimension ref="A1:L59"/>
  <sheetViews>
    <sheetView topLeftCell="A29" workbookViewId="0">
      <selection activeCell="F28" sqref="F28"/>
    </sheetView>
  </sheetViews>
  <sheetFormatPr baseColWidth="10" defaultColWidth="8.83203125" defaultRowHeight="14" x14ac:dyDescent="0.15"/>
  <cols>
    <col min="1" max="1" width="24.33203125" customWidth="1"/>
    <col min="2" max="2" width="13.6640625" customWidth="1"/>
    <col min="3" max="3" width="18" customWidth="1"/>
    <col min="4" max="4" width="23" customWidth="1"/>
    <col min="5" max="5" width="14.6640625" bestFit="1" customWidth="1"/>
    <col min="6" max="6" width="15.6640625" customWidth="1"/>
    <col min="7" max="7" width="14" customWidth="1"/>
    <col min="8" max="8" width="16.5" customWidth="1"/>
    <col min="9" max="9" width="11.33203125" customWidth="1"/>
    <col min="10" max="10" width="9.83203125" customWidth="1"/>
    <col min="11" max="11" width="10" customWidth="1"/>
    <col min="13" max="13" width="11.1640625" bestFit="1" customWidth="1"/>
  </cols>
  <sheetData>
    <row r="1" spans="1:11" x14ac:dyDescent="0.15">
      <c r="A1" s="151" t="s">
        <v>177</v>
      </c>
    </row>
    <row r="2" spans="1:11" s="16" customFormat="1" ht="90" x14ac:dyDescent="0.15">
      <c r="A2" s="23" t="s">
        <v>19</v>
      </c>
      <c r="B2" s="23" t="s">
        <v>119</v>
      </c>
      <c r="C2" s="23" t="s">
        <v>190</v>
      </c>
      <c r="D2" s="23" t="s">
        <v>54</v>
      </c>
      <c r="E2" s="23" t="s">
        <v>55</v>
      </c>
      <c r="F2" s="23" t="s">
        <v>191</v>
      </c>
      <c r="G2" s="23" t="s">
        <v>57</v>
      </c>
    </row>
    <row r="3" spans="1:11" x14ac:dyDescent="0.15">
      <c r="A3" s="129" t="s">
        <v>17</v>
      </c>
      <c r="B3" s="150">
        <v>369904.74452818494</v>
      </c>
      <c r="C3" s="25">
        <v>5966.6178715944261</v>
      </c>
      <c r="D3" s="25">
        <f t="shared" ref="D3:D11" si="0">B3*C3</f>
        <v>2207080259.4894385</v>
      </c>
      <c r="E3" s="24">
        <v>29.675000000000001</v>
      </c>
      <c r="F3" s="25">
        <f>C3*(E3/100)</f>
        <v>1770.593853395646</v>
      </c>
      <c r="G3" s="25">
        <f t="shared" ref="G3:G11" si="1">B3*F3</f>
        <v>654951067.00349092</v>
      </c>
      <c r="H3" s="18"/>
    </row>
    <row r="4" spans="1:11" x14ac:dyDescent="0.15">
      <c r="A4" s="129" t="s">
        <v>21</v>
      </c>
      <c r="B4" s="150">
        <v>316686.18450113013</v>
      </c>
      <c r="C4" s="25">
        <v>7937.8121034522737</v>
      </c>
      <c r="D4" s="25">
        <f t="shared" si="0"/>
        <v>2513795428.3291907</v>
      </c>
      <c r="E4" s="24">
        <v>29.675000000000001</v>
      </c>
      <c r="F4" s="25">
        <f t="shared" ref="F4:F11" si="2">C4*(E4/100)</f>
        <v>2355.5457416994623</v>
      </c>
      <c r="G4" s="25">
        <f t="shared" si="1"/>
        <v>745968793.35668731</v>
      </c>
      <c r="H4" s="18"/>
    </row>
    <row r="5" spans="1:11" x14ac:dyDescent="0.15">
      <c r="A5" s="129" t="s">
        <v>22</v>
      </c>
      <c r="B5" s="150">
        <v>84125.109556779338</v>
      </c>
      <c r="C5" s="25">
        <v>8419.7914095213746</v>
      </c>
      <c r="D5" s="25">
        <f t="shared" si="0"/>
        <v>708315874.7712152</v>
      </c>
      <c r="E5" s="24">
        <v>30.25</v>
      </c>
      <c r="F5" s="25">
        <f t="shared" si="2"/>
        <v>2546.9869013802158</v>
      </c>
      <c r="G5" s="25">
        <f t="shared" si="1"/>
        <v>214265552.1182926</v>
      </c>
      <c r="H5" s="18"/>
    </row>
    <row r="6" spans="1:11" x14ac:dyDescent="0.15">
      <c r="A6" s="129" t="s">
        <v>23</v>
      </c>
      <c r="B6" s="150">
        <v>45390.166190553187</v>
      </c>
      <c r="C6" s="25">
        <v>7992.2477413550223</v>
      </c>
      <c r="D6" s="25">
        <f t="shared" si="0"/>
        <v>362769453.21617782</v>
      </c>
      <c r="E6" s="24">
        <v>30.25</v>
      </c>
      <c r="F6" s="25">
        <f t="shared" si="2"/>
        <v>2417.654941759894</v>
      </c>
      <c r="G6" s="25">
        <f t="shared" si="1"/>
        <v>109737759.59789377</v>
      </c>
      <c r="H6" s="18"/>
    </row>
    <row r="7" spans="1:11" x14ac:dyDescent="0.15">
      <c r="A7" s="129" t="s">
        <v>24</v>
      </c>
      <c r="B7" s="150">
        <v>114849.8337459996</v>
      </c>
      <c r="C7" s="25">
        <v>3470.4280385934876</v>
      </c>
      <c r="D7" s="25">
        <f t="shared" si="0"/>
        <v>398578083.2599175</v>
      </c>
      <c r="E7" s="24">
        <v>18.149999999999999</v>
      </c>
      <c r="F7" s="25">
        <f t="shared" si="2"/>
        <v>629.88268900471803</v>
      </c>
      <c r="G7" s="25">
        <f t="shared" si="1"/>
        <v>72341922.111675039</v>
      </c>
      <c r="H7" s="18"/>
    </row>
    <row r="8" spans="1:11" x14ac:dyDescent="0.15">
      <c r="A8" s="129" t="s">
        <v>25</v>
      </c>
      <c r="B8" s="150">
        <v>187963.1749193295</v>
      </c>
      <c r="C8" s="25">
        <v>6432.204065670363</v>
      </c>
      <c r="D8" s="25">
        <f t="shared" si="0"/>
        <v>1209017497.9124207</v>
      </c>
      <c r="E8" s="24">
        <v>41.125</v>
      </c>
      <c r="F8" s="25">
        <f t="shared" si="2"/>
        <v>2645.2439220069368</v>
      </c>
      <c r="G8" s="25">
        <f t="shared" si="1"/>
        <v>497208446.01648307</v>
      </c>
      <c r="H8" s="18"/>
    </row>
    <row r="9" spans="1:11" x14ac:dyDescent="0.15">
      <c r="A9" s="129" t="s">
        <v>26</v>
      </c>
      <c r="B9" s="150">
        <v>454269.29858303582</v>
      </c>
      <c r="C9" s="25">
        <v>5833.6480868483814</v>
      </c>
      <c r="D9" s="25">
        <f t="shared" si="0"/>
        <v>2650047224.5928831</v>
      </c>
      <c r="E9" s="24">
        <v>41.125</v>
      </c>
      <c r="F9" s="25">
        <f t="shared" si="2"/>
        <v>2399.0877757163967</v>
      </c>
      <c r="G9" s="25">
        <f t="shared" si="1"/>
        <v>1089831921.1138232</v>
      </c>
      <c r="H9" s="18"/>
    </row>
    <row r="10" spans="1:11" x14ac:dyDescent="0.15">
      <c r="A10" s="129" t="s">
        <v>27</v>
      </c>
      <c r="B10" s="150">
        <v>118898.97356728668</v>
      </c>
      <c r="C10" s="25">
        <v>7561.5890413840016</v>
      </c>
      <c r="D10" s="25">
        <f t="shared" si="0"/>
        <v>899065175.55820107</v>
      </c>
      <c r="E10" s="24">
        <v>38.125</v>
      </c>
      <c r="F10" s="25">
        <f t="shared" si="2"/>
        <v>2882.8558220276504</v>
      </c>
      <c r="G10" s="25">
        <f t="shared" si="1"/>
        <v>342768598.18156415</v>
      </c>
      <c r="H10" s="18"/>
    </row>
    <row r="11" spans="1:11" x14ac:dyDescent="0.15">
      <c r="A11" s="129" t="s">
        <v>28</v>
      </c>
      <c r="B11" s="150">
        <v>182393.23341969785</v>
      </c>
      <c r="C11" s="25">
        <v>7448.5854614755344</v>
      </c>
      <c r="D11" s="25">
        <f t="shared" si="0"/>
        <v>1358571586.7214749</v>
      </c>
      <c r="E11" s="24">
        <v>30.25</v>
      </c>
      <c r="F11" s="25">
        <f t="shared" si="2"/>
        <v>2253.1971020963492</v>
      </c>
      <c r="G11" s="25">
        <f t="shared" si="1"/>
        <v>410967904.98324621</v>
      </c>
      <c r="H11" s="18"/>
    </row>
    <row r="12" spans="1:11" x14ac:dyDescent="0.15">
      <c r="A12" s="129" t="s">
        <v>20</v>
      </c>
      <c r="B12" s="9">
        <f>SUM(B3:B11)</f>
        <v>1874480.7190119973</v>
      </c>
      <c r="C12" s="10"/>
      <c r="D12" s="9">
        <f>SUM(D3:D11)</f>
        <v>12307240583.85092</v>
      </c>
      <c r="E12" s="10"/>
      <c r="F12" s="10"/>
      <c r="G12" s="9">
        <f>SUM(G3:G11)</f>
        <v>4138041964.4831567</v>
      </c>
      <c r="H12" s="19"/>
    </row>
    <row r="13" spans="1:11" x14ac:dyDescent="0.15">
      <c r="A13" s="13"/>
      <c r="G13" s="19"/>
      <c r="H13" s="19"/>
      <c r="J13" s="19"/>
    </row>
    <row r="14" spans="1:11" x14ac:dyDescent="0.15">
      <c r="A14" s="2" t="s">
        <v>189</v>
      </c>
      <c r="G14" s="19"/>
      <c r="H14" s="19"/>
      <c r="J14" s="19"/>
    </row>
    <row r="15" spans="1:11" ht="60" x14ac:dyDescent="0.15">
      <c r="A15" s="23" t="s">
        <v>19</v>
      </c>
      <c r="B15" s="152" t="s">
        <v>58</v>
      </c>
      <c r="C15" s="155" t="s">
        <v>59</v>
      </c>
      <c r="D15" s="155" t="s">
        <v>60</v>
      </c>
      <c r="H15" s="19"/>
      <c r="I15" s="19"/>
      <c r="K15" s="19"/>
    </row>
    <row r="16" spans="1:11" x14ac:dyDescent="0.15">
      <c r="A16" s="129" t="s">
        <v>17</v>
      </c>
      <c r="B16" s="154">
        <v>47533.333333333328</v>
      </c>
      <c r="C16" s="156">
        <f t="shared" ref="C16:C24" si="3">B16/B3</f>
        <v>0.12850155083564094</v>
      </c>
      <c r="D16" s="157">
        <f>(C16*325851)*(1/365)</f>
        <v>114.71879134614915</v>
      </c>
      <c r="H16" s="19"/>
      <c r="I16" s="19"/>
      <c r="K16" s="19"/>
    </row>
    <row r="17" spans="1:12" x14ac:dyDescent="0.15">
      <c r="A17" s="129" t="s">
        <v>21</v>
      </c>
      <c r="B17" s="154">
        <v>52066.666666666664</v>
      </c>
      <c r="C17" s="156">
        <f t="shared" si="3"/>
        <v>0.16441091912072614</v>
      </c>
      <c r="D17" s="157">
        <f t="shared" ref="D17:D24" si="4">(C17*325851)*(1/365)</f>
        <v>146.77660933262393</v>
      </c>
      <c r="H17" s="19"/>
      <c r="I17" s="19"/>
      <c r="K17" s="19"/>
    </row>
    <row r="18" spans="1:12" x14ac:dyDescent="0.15">
      <c r="A18" s="129" t="s">
        <v>22</v>
      </c>
      <c r="B18" s="154">
        <v>7883.333333333333</v>
      </c>
      <c r="C18" s="156">
        <f t="shared" si="3"/>
        <v>9.3709635266656766E-2</v>
      </c>
      <c r="D18" s="157">
        <f t="shared" si="4"/>
        <v>83.658570852809234</v>
      </c>
      <c r="H18" s="19"/>
      <c r="I18" s="19"/>
      <c r="K18" s="19"/>
    </row>
    <row r="19" spans="1:12" x14ac:dyDescent="0.15">
      <c r="A19" s="129" t="s">
        <v>23</v>
      </c>
      <c r="B19" s="154">
        <v>5933.3333333333339</v>
      </c>
      <c r="C19" s="156">
        <f t="shared" si="3"/>
        <v>0.13071847563687058</v>
      </c>
      <c r="D19" s="157">
        <f t="shared" si="4"/>
        <v>116.69793425958882</v>
      </c>
      <c r="H19" s="19"/>
      <c r="I19" s="19"/>
      <c r="K19" s="19"/>
    </row>
    <row r="20" spans="1:12" x14ac:dyDescent="0.15">
      <c r="A20" s="129" t="s">
        <v>24</v>
      </c>
      <c r="B20" s="154">
        <v>4983.333333333333</v>
      </c>
      <c r="C20" s="156">
        <f t="shared" si="3"/>
        <v>4.338999170303031E-2</v>
      </c>
      <c r="D20" s="157">
        <f t="shared" si="4"/>
        <v>38.736088181983916</v>
      </c>
      <c r="H20" s="19"/>
      <c r="I20" s="19"/>
      <c r="K20" s="19"/>
    </row>
    <row r="21" spans="1:12" x14ac:dyDescent="0.15">
      <c r="A21" s="129" t="s">
        <v>25</v>
      </c>
      <c r="B21" s="154">
        <v>19316.666666666668</v>
      </c>
      <c r="C21" s="156">
        <f t="shared" si="3"/>
        <v>0.10276835701970369</v>
      </c>
      <c r="D21" s="157">
        <f t="shared" si="4"/>
        <v>91.745676447198534</v>
      </c>
      <c r="H21" s="19"/>
      <c r="I21" s="19"/>
      <c r="K21" s="19"/>
    </row>
    <row r="22" spans="1:12" x14ac:dyDescent="0.15">
      <c r="A22" s="129" t="s">
        <v>26</v>
      </c>
      <c r="B22" s="154">
        <v>67149.999999999985</v>
      </c>
      <c r="C22" s="156">
        <f t="shared" si="3"/>
        <v>0.14781980690628962</v>
      </c>
      <c r="D22" s="157">
        <f t="shared" si="4"/>
        <v>131.96501890471609</v>
      </c>
      <c r="H22" s="19"/>
      <c r="I22" s="19"/>
      <c r="K22" s="19"/>
    </row>
    <row r="23" spans="1:12" x14ac:dyDescent="0.15">
      <c r="A23" s="129" t="s">
        <v>27</v>
      </c>
      <c r="B23" s="154">
        <v>19016.666666666664</v>
      </c>
      <c r="C23" s="156">
        <f t="shared" si="3"/>
        <v>0.15993970423895082</v>
      </c>
      <c r="D23" s="157">
        <f t="shared" si="4"/>
        <v>142.78496593415443</v>
      </c>
      <c r="H23" s="19"/>
      <c r="I23" s="19"/>
      <c r="K23" s="19"/>
    </row>
    <row r="24" spans="1:12" x14ac:dyDescent="0.15">
      <c r="A24" s="129" t="s">
        <v>28</v>
      </c>
      <c r="B24" s="154">
        <v>17516.666666666664</v>
      </c>
      <c r="C24" s="156">
        <f t="shared" si="3"/>
        <v>9.6037919489917453E-2</v>
      </c>
      <c r="D24" s="157">
        <f t="shared" si="4"/>
        <v>85.737129051257781</v>
      </c>
      <c r="H24" s="19"/>
      <c r="I24" s="19"/>
      <c r="K24" s="19"/>
    </row>
    <row r="25" spans="1:12" x14ac:dyDescent="0.15">
      <c r="A25" s="129" t="s">
        <v>20</v>
      </c>
      <c r="B25" s="136">
        <f>SUM(B16:B24)</f>
        <v>241399.99999999994</v>
      </c>
      <c r="C25" s="10"/>
      <c r="D25" s="10"/>
      <c r="H25" s="19"/>
      <c r="I25" s="19"/>
      <c r="K25" s="19"/>
    </row>
    <row r="26" spans="1:12" x14ac:dyDescent="0.15">
      <c r="A26" s="13"/>
      <c r="G26" s="19"/>
      <c r="H26" s="19"/>
      <c r="J26" s="19"/>
    </row>
    <row r="27" spans="1:12" x14ac:dyDescent="0.15">
      <c r="A27" s="26" t="s">
        <v>178</v>
      </c>
    </row>
    <row r="28" spans="1:12" s="16" customFormat="1" ht="60" x14ac:dyDescent="0.15">
      <c r="A28" s="23" t="s">
        <v>19</v>
      </c>
      <c r="B28" s="77" t="s">
        <v>33</v>
      </c>
      <c r="C28" s="77" t="s">
        <v>40</v>
      </c>
      <c r="D28" s="23" t="s">
        <v>176</v>
      </c>
      <c r="E28" s="23" t="s">
        <v>175</v>
      </c>
      <c r="F28" s="23" t="s">
        <v>61</v>
      </c>
      <c r="G28" s="23" t="s">
        <v>62</v>
      </c>
    </row>
    <row r="29" spans="1:12" x14ac:dyDescent="0.15">
      <c r="A29" s="129" t="s">
        <v>17</v>
      </c>
      <c r="B29" s="171">
        <v>48.075424754192412</v>
      </c>
      <c r="C29" s="171">
        <v>21.986594176128566</v>
      </c>
      <c r="D29" s="25">
        <f t="shared" ref="D29:D37" si="5">(G3*((B29/12)-(0.25*(C29/12)))*$C$45)/$C$46</f>
        <v>2478845769.8264289</v>
      </c>
      <c r="E29" s="136">
        <f>D29*(1/43560)</f>
        <v>56906.46854514299</v>
      </c>
      <c r="F29" s="136">
        <f>(E29*325851)/10^6</f>
        <v>18543.02968190339</v>
      </c>
      <c r="G29" s="163">
        <f t="shared" ref="G29:G37" si="6">E29/B3</f>
        <v>0.15384087224327828</v>
      </c>
      <c r="K29" s="20"/>
      <c r="L29" s="20"/>
    </row>
    <row r="30" spans="1:12" x14ac:dyDescent="0.15">
      <c r="A30" s="129" t="s">
        <v>21</v>
      </c>
      <c r="B30" s="171">
        <v>50.060338909456803</v>
      </c>
      <c r="C30" s="171">
        <v>23.992041179090293</v>
      </c>
      <c r="D30" s="25">
        <f t="shared" si="5"/>
        <v>2921699743.0383844</v>
      </c>
      <c r="E30" s="136">
        <f t="shared" ref="E30:E37" si="7">D30*(1/43560)</f>
        <v>67072.996855793943</v>
      </c>
      <c r="F30" s="136">
        <f t="shared" ref="F30:F38" si="8">(E30*325851)/10^6</f>
        <v>21855.803098457312</v>
      </c>
      <c r="G30" s="163">
        <f t="shared" si="6"/>
        <v>0.21179640962693966</v>
      </c>
      <c r="K30" s="20"/>
      <c r="L30" s="20"/>
    </row>
    <row r="31" spans="1:12" x14ac:dyDescent="0.15">
      <c r="A31" s="129" t="s">
        <v>22</v>
      </c>
      <c r="B31" s="171">
        <v>35.290231697862886</v>
      </c>
      <c r="C31" s="171">
        <v>36.936712348320654</v>
      </c>
      <c r="D31" s="25">
        <f t="shared" si="5"/>
        <v>496259085.59450591</v>
      </c>
      <c r="E31" s="136">
        <f t="shared" si="7"/>
        <v>11392.54099160941</v>
      </c>
      <c r="F31" s="136">
        <f t="shared" si="8"/>
        <v>3712.2708746569178</v>
      </c>
      <c r="G31" s="163">
        <f t="shared" si="6"/>
        <v>0.13542378787536838</v>
      </c>
      <c r="K31" s="20"/>
      <c r="L31" s="20"/>
    </row>
    <row r="32" spans="1:12" x14ac:dyDescent="0.15">
      <c r="A32" s="129" t="s">
        <v>23</v>
      </c>
      <c r="B32" s="171">
        <v>48.66744885886088</v>
      </c>
      <c r="C32" s="171">
        <v>29.853682559639733</v>
      </c>
      <c r="D32" s="25">
        <f t="shared" si="5"/>
        <v>401923354.94720626</v>
      </c>
      <c r="E32" s="136">
        <f t="shared" si="7"/>
        <v>9226.8906094399972</v>
      </c>
      <c r="F32" s="136">
        <f t="shared" si="8"/>
        <v>3006.5915319766327</v>
      </c>
      <c r="G32" s="163">
        <f t="shared" si="6"/>
        <v>0.2032795070787897</v>
      </c>
      <c r="K32" s="20"/>
      <c r="L32" s="20"/>
    </row>
    <row r="33" spans="1:12" x14ac:dyDescent="0.15">
      <c r="A33" s="129" t="s">
        <v>24</v>
      </c>
      <c r="B33" s="171">
        <v>31.254076952494</v>
      </c>
      <c r="C33" s="171">
        <v>22.98863508155328</v>
      </c>
      <c r="D33" s="25">
        <f t="shared" si="5"/>
        <v>164019510.0834451</v>
      </c>
      <c r="E33" s="136">
        <f t="shared" si="7"/>
        <v>3765.3698366263798</v>
      </c>
      <c r="F33" s="136">
        <f t="shared" si="8"/>
        <v>1226.9495266345425</v>
      </c>
      <c r="G33" s="163">
        <f t="shared" si="6"/>
        <v>3.2785157050848002E-2</v>
      </c>
      <c r="K33" s="20"/>
      <c r="L33" s="20"/>
    </row>
    <row r="34" spans="1:12" x14ac:dyDescent="0.15">
      <c r="A34" s="129" t="s">
        <v>25</v>
      </c>
      <c r="B34" s="171">
        <v>38.177704332056621</v>
      </c>
      <c r="C34" s="171">
        <v>29.10774090629803</v>
      </c>
      <c r="D34" s="25">
        <f t="shared" si="5"/>
        <v>1365699856.6800809</v>
      </c>
      <c r="E34" s="136">
        <f t="shared" si="7"/>
        <v>31352.154652894416</v>
      </c>
      <c r="F34" s="136">
        <f t="shared" si="8"/>
        <v>10216.130945800298</v>
      </c>
      <c r="G34" s="163">
        <f t="shared" si="6"/>
        <v>0.16679945242652031</v>
      </c>
      <c r="K34" s="20"/>
      <c r="L34" s="20"/>
    </row>
    <row r="35" spans="1:12" x14ac:dyDescent="0.15">
      <c r="A35" s="129" t="s">
        <v>26</v>
      </c>
      <c r="B35" s="171">
        <v>51.652194181579837</v>
      </c>
      <c r="C35" s="171">
        <v>26.619584913621015</v>
      </c>
      <c r="D35" s="25">
        <f t="shared" si="5"/>
        <v>4359065926.5101662</v>
      </c>
      <c r="E35" s="136">
        <f t="shared" si="7"/>
        <v>100070.38398783669</v>
      </c>
      <c r="F35" s="136">
        <f t="shared" si="8"/>
        <v>32608.034692820573</v>
      </c>
      <c r="G35" s="163">
        <f t="shared" si="6"/>
        <v>0.22028867964438242</v>
      </c>
      <c r="K35" s="20"/>
      <c r="L35" s="20"/>
    </row>
    <row r="36" spans="1:12" x14ac:dyDescent="0.15">
      <c r="A36" s="129" t="s">
        <v>27</v>
      </c>
      <c r="B36" s="171">
        <v>49.363148335281217</v>
      </c>
      <c r="C36" s="171">
        <v>20.991865627247734</v>
      </c>
      <c r="D36" s="25">
        <f t="shared" si="5"/>
        <v>1344115472.7240968</v>
      </c>
      <c r="E36" s="136">
        <f t="shared" si="7"/>
        <v>30856.645379341062</v>
      </c>
      <c r="F36" s="136">
        <f t="shared" si="8"/>
        <v>10054.668753503664</v>
      </c>
      <c r="G36" s="163">
        <f t="shared" si="6"/>
        <v>0.25951986340638028</v>
      </c>
      <c r="K36" s="20"/>
      <c r="L36" s="20"/>
    </row>
    <row r="37" spans="1:12" x14ac:dyDescent="0.15">
      <c r="A37" s="129" t="s">
        <v>28</v>
      </c>
      <c r="B37" s="171">
        <v>44.373059642206385</v>
      </c>
      <c r="C37" s="171">
        <v>38.08727319903997</v>
      </c>
      <c r="D37" s="25">
        <f t="shared" si="5"/>
        <v>1273132590.2729504</v>
      </c>
      <c r="E37" s="136">
        <f t="shared" si="7"/>
        <v>29227.102623345967</v>
      </c>
      <c r="F37" s="136">
        <f t="shared" si="8"/>
        <v>9523.6806169199062</v>
      </c>
      <c r="G37" s="163">
        <f t="shared" si="6"/>
        <v>0.16024225282575388</v>
      </c>
      <c r="K37" s="20"/>
      <c r="L37" s="20"/>
    </row>
    <row r="38" spans="1:12" x14ac:dyDescent="0.15">
      <c r="A38" s="10" t="s">
        <v>20</v>
      </c>
      <c r="B38" s="10"/>
      <c r="C38" s="10"/>
      <c r="D38" s="136">
        <f>SUM(D29:D37)</f>
        <v>14804761309.677265</v>
      </c>
      <c r="E38" s="136">
        <f>D38*(1/43560)</f>
        <v>339870.55348203087</v>
      </c>
      <c r="F38" s="136">
        <f t="shared" si="8"/>
        <v>110747.15972267323</v>
      </c>
      <c r="G38" s="10"/>
    </row>
    <row r="40" spans="1:12" ht="15" x14ac:dyDescent="0.15">
      <c r="A40" s="180" t="s">
        <v>4</v>
      </c>
      <c r="B40" s="8"/>
      <c r="C40" s="8"/>
      <c r="D40" s="10"/>
    </row>
    <row r="41" spans="1:12" x14ac:dyDescent="0.15">
      <c r="A41" s="12" t="s">
        <v>46</v>
      </c>
      <c r="B41" s="8"/>
      <c r="C41" s="10"/>
      <c r="D41" s="10"/>
    </row>
    <row r="42" spans="1:12" ht="45" x14ac:dyDescent="0.15">
      <c r="A42" s="180" t="s">
        <v>5</v>
      </c>
      <c r="B42" s="76" t="s">
        <v>6</v>
      </c>
      <c r="C42" s="130" t="s">
        <v>195</v>
      </c>
      <c r="D42" s="130" t="s">
        <v>196</v>
      </c>
    </row>
    <row r="43" spans="1:12" ht="15" x14ac:dyDescent="0.15">
      <c r="A43" s="168" t="s">
        <v>7</v>
      </c>
      <c r="B43" s="181" t="s">
        <v>8</v>
      </c>
      <c r="C43" s="181" t="s">
        <v>9</v>
      </c>
      <c r="D43" s="181" t="s">
        <v>9</v>
      </c>
    </row>
    <row r="44" spans="1:12" ht="17" x14ac:dyDescent="0.2">
      <c r="A44" s="168" t="s">
        <v>135</v>
      </c>
      <c r="B44" s="181" t="s">
        <v>11</v>
      </c>
      <c r="C44" s="181" t="s">
        <v>179</v>
      </c>
      <c r="D44" s="181" t="s">
        <v>179</v>
      </c>
    </row>
    <row r="45" spans="1:12" ht="30" x14ac:dyDescent="0.15">
      <c r="A45" s="168" t="s">
        <v>12</v>
      </c>
      <c r="B45" s="181" t="s">
        <v>13</v>
      </c>
      <c r="C45" s="181">
        <v>0.64</v>
      </c>
      <c r="D45" s="171">
        <v>0.55000000000000004</v>
      </c>
    </row>
    <row r="46" spans="1:12" ht="30" x14ac:dyDescent="0.15">
      <c r="A46" s="168" t="s">
        <v>14</v>
      </c>
      <c r="B46" s="181" t="s">
        <v>15</v>
      </c>
      <c r="C46" s="181">
        <v>0.6</v>
      </c>
      <c r="D46" s="171">
        <v>0.75</v>
      </c>
    </row>
    <row r="48" spans="1:12" x14ac:dyDescent="0.15">
      <c r="A48" s="11"/>
    </row>
    <row r="49" spans="1:1" x14ac:dyDescent="0.15">
      <c r="A49" s="6"/>
    </row>
    <row r="59" spans="1:1" x14ac:dyDescent="0.15">
      <c r="A59" s="2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tabColor theme="4" tint="0.39997558519241921"/>
  </sheetPr>
  <dimension ref="A1:Q69"/>
  <sheetViews>
    <sheetView topLeftCell="A19" workbookViewId="0">
      <selection activeCell="C35" sqref="C35"/>
    </sheetView>
  </sheetViews>
  <sheetFormatPr baseColWidth="10" defaultColWidth="8.83203125" defaultRowHeight="14" x14ac:dyDescent="0.15"/>
  <cols>
    <col min="1" max="1" width="24.33203125" customWidth="1"/>
    <col min="2" max="2" width="15.1640625" customWidth="1"/>
    <col min="3" max="3" width="14.33203125" customWidth="1"/>
    <col min="4" max="4" width="18" customWidth="1"/>
    <col min="5" max="5" width="14.6640625" bestFit="1" customWidth="1"/>
    <col min="6" max="6" width="15.83203125" customWidth="1"/>
    <col min="7" max="7" width="14" customWidth="1"/>
    <col min="8" max="8" width="16.5" customWidth="1"/>
    <col min="9" max="9" width="16.33203125" customWidth="1"/>
    <col min="10" max="10" width="17.1640625" customWidth="1"/>
    <col min="11" max="11" width="10" customWidth="1"/>
    <col min="13" max="13" width="11.1640625" bestFit="1" customWidth="1"/>
    <col min="15" max="15" width="19.83203125" customWidth="1"/>
    <col min="16" max="16" width="11.83203125" customWidth="1"/>
    <col min="17" max="17" width="15.6640625" customWidth="1"/>
  </cols>
  <sheetData>
    <row r="1" spans="1:17" x14ac:dyDescent="0.15">
      <c r="A1" s="8" t="s">
        <v>192</v>
      </c>
      <c r="B1" s="10"/>
      <c r="C1" s="10"/>
      <c r="D1" s="10"/>
      <c r="E1" s="10"/>
      <c r="F1" s="10"/>
      <c r="G1" s="10"/>
      <c r="H1" s="10"/>
      <c r="I1" s="10"/>
      <c r="J1" s="10"/>
    </row>
    <row r="2" spans="1:17" s="16" customFormat="1" ht="90" x14ac:dyDescent="0.15">
      <c r="A2" s="130" t="s">
        <v>19</v>
      </c>
      <c r="B2" s="130" t="s">
        <v>105</v>
      </c>
      <c r="C2" s="130" t="s">
        <v>106</v>
      </c>
      <c r="D2" s="130" t="s">
        <v>53</v>
      </c>
      <c r="E2" s="130" t="s">
        <v>54</v>
      </c>
      <c r="F2" s="130" t="s">
        <v>55</v>
      </c>
      <c r="G2" s="130" t="s">
        <v>56</v>
      </c>
      <c r="H2" s="130" t="s">
        <v>109</v>
      </c>
      <c r="I2" s="130" t="s">
        <v>110</v>
      </c>
      <c r="J2" s="130" t="s">
        <v>111</v>
      </c>
      <c r="O2"/>
      <c r="P2"/>
      <c r="Q2"/>
    </row>
    <row r="3" spans="1:17" x14ac:dyDescent="0.15">
      <c r="A3" s="129" t="s">
        <v>17</v>
      </c>
      <c r="B3" s="78">
        <v>369904.74452818494</v>
      </c>
      <c r="C3" s="25">
        <v>67791.9331958814</v>
      </c>
      <c r="D3" s="25">
        <v>5966.6178715944261</v>
      </c>
      <c r="E3" s="25">
        <f>(B3+C3)*D3</f>
        <v>2611568819.6459198</v>
      </c>
      <c r="F3" s="24">
        <v>29.675000000000001</v>
      </c>
      <c r="G3" s="25">
        <f>D3*(F3/100)</f>
        <v>1770.593853395646</v>
      </c>
      <c r="H3" s="25">
        <f>(B3+C3)*G3</f>
        <v>774983047.22992671</v>
      </c>
      <c r="I3" s="136">
        <f>B3*G3</f>
        <v>654951067.00349092</v>
      </c>
      <c r="J3" s="136">
        <f>C3*G3</f>
        <v>120031980.22643586</v>
      </c>
    </row>
    <row r="4" spans="1:17" x14ac:dyDescent="0.15">
      <c r="A4" s="129" t="s">
        <v>21</v>
      </c>
      <c r="B4" s="78">
        <v>316686.18450113013</v>
      </c>
      <c r="C4" s="25">
        <v>84890.770973781298</v>
      </c>
      <c r="D4" s="25">
        <v>7937.8121034522737</v>
      </c>
      <c r="E4" s="25">
        <f t="shared" ref="E4:E11" si="0">(B4+C4)*D4</f>
        <v>3187642417.6362667</v>
      </c>
      <c r="F4" s="24">
        <v>29.675000000000001</v>
      </c>
      <c r="G4" s="25">
        <f t="shared" ref="G4:G11" si="1">D4*(F4/100)</f>
        <v>2355.5457416994623</v>
      </c>
      <c r="H4" s="25">
        <f t="shared" ref="H4:H11" si="2">(B4+C4)*G4</f>
        <v>945932887.43356216</v>
      </c>
      <c r="I4" s="136">
        <f t="shared" ref="I4:I11" si="3">B4*G4</f>
        <v>745968793.35668731</v>
      </c>
      <c r="J4" s="136">
        <f t="shared" ref="J4:J11" si="4">C4*G4</f>
        <v>199964094.07687485</v>
      </c>
    </row>
    <row r="5" spans="1:17" x14ac:dyDescent="0.15">
      <c r="A5" s="129" t="s">
        <v>22</v>
      </c>
      <c r="B5" s="78">
        <v>84125.109556779338</v>
      </c>
      <c r="C5" s="25">
        <v>17247.199584522474</v>
      </c>
      <c r="D5" s="25">
        <v>8419.7914095213746</v>
      </c>
      <c r="E5" s="25">
        <f t="shared" si="0"/>
        <v>853533697.67127812</v>
      </c>
      <c r="F5" s="24">
        <v>30.25</v>
      </c>
      <c r="G5" s="25">
        <f t="shared" si="1"/>
        <v>2546.9869013802158</v>
      </c>
      <c r="H5" s="25">
        <f t="shared" si="2"/>
        <v>258193943.54556164</v>
      </c>
      <c r="I5" s="136">
        <f t="shared" si="3"/>
        <v>214265552.1182926</v>
      </c>
      <c r="J5" s="136">
        <f t="shared" si="4"/>
        <v>43928391.427269042</v>
      </c>
    </row>
    <row r="6" spans="1:17" x14ac:dyDescent="0.15">
      <c r="A6" s="129" t="s">
        <v>23</v>
      </c>
      <c r="B6" s="78">
        <v>45390.166190553187</v>
      </c>
      <c r="C6" s="25">
        <v>30473.668854116262</v>
      </c>
      <c r="D6" s="25">
        <v>7992.2477413550223</v>
      </c>
      <c r="E6" s="25">
        <f t="shared" si="0"/>
        <v>606322564.28628945</v>
      </c>
      <c r="F6" s="24">
        <v>30.25</v>
      </c>
      <c r="G6" s="25">
        <f t="shared" si="1"/>
        <v>2417.654941759894</v>
      </c>
      <c r="H6" s="25">
        <f t="shared" si="2"/>
        <v>183412575.69660252</v>
      </c>
      <c r="I6" s="136">
        <f t="shared" si="3"/>
        <v>109737759.59789377</v>
      </c>
      <c r="J6" s="136">
        <f t="shared" si="4"/>
        <v>73674816.098708749</v>
      </c>
    </row>
    <row r="7" spans="1:17" x14ac:dyDescent="0.15">
      <c r="A7" s="129" t="s">
        <v>24</v>
      </c>
      <c r="B7" s="78">
        <v>114849.8337459996</v>
      </c>
      <c r="C7" s="25">
        <v>3871.7671539110293</v>
      </c>
      <c r="D7" s="25">
        <v>3470.4280385934876</v>
      </c>
      <c r="E7" s="25">
        <f t="shared" si="0"/>
        <v>412014772.54975569</v>
      </c>
      <c r="F7" s="24">
        <v>18.149999999999999</v>
      </c>
      <c r="G7" s="25">
        <f t="shared" si="1"/>
        <v>629.88268900471803</v>
      </c>
      <c r="H7" s="25">
        <f t="shared" si="2"/>
        <v>74780681.217780665</v>
      </c>
      <c r="I7" s="136">
        <f t="shared" si="3"/>
        <v>72341922.111675039</v>
      </c>
      <c r="J7" s="136">
        <f t="shared" si="4"/>
        <v>2438759.1061056233</v>
      </c>
    </row>
    <row r="8" spans="1:17" x14ac:dyDescent="0.15">
      <c r="A8" s="129" t="s">
        <v>25</v>
      </c>
      <c r="B8" s="78">
        <v>187963.1749193295</v>
      </c>
      <c r="C8" s="25">
        <v>51190.702370511121</v>
      </c>
      <c r="D8" s="25">
        <v>6432.204065670363</v>
      </c>
      <c r="E8" s="25">
        <f t="shared" si="0"/>
        <v>1538286541.8245437</v>
      </c>
      <c r="F8" s="24">
        <v>41.125</v>
      </c>
      <c r="G8" s="25">
        <f t="shared" si="1"/>
        <v>2645.2439220069368</v>
      </c>
      <c r="H8" s="25">
        <f t="shared" si="2"/>
        <v>632620340.32534361</v>
      </c>
      <c r="I8" s="136">
        <f t="shared" si="3"/>
        <v>497208446.01648307</v>
      </c>
      <c r="J8" s="136">
        <f t="shared" si="4"/>
        <v>135411894.30886063</v>
      </c>
    </row>
    <row r="9" spans="1:17" x14ac:dyDescent="0.15">
      <c r="A9" s="129" t="s">
        <v>26</v>
      </c>
      <c r="B9" s="78">
        <v>454269.29858303582</v>
      </c>
      <c r="C9" s="25">
        <v>222653.13374628525</v>
      </c>
      <c r="D9" s="25">
        <v>5833.6480868483814</v>
      </c>
      <c r="E9" s="25">
        <f t="shared" si="0"/>
        <v>3948927252.3026967</v>
      </c>
      <c r="F9" s="24">
        <v>41.125</v>
      </c>
      <c r="G9" s="25">
        <f t="shared" si="1"/>
        <v>2399.0877757163967</v>
      </c>
      <c r="H9" s="25">
        <f t="shared" si="2"/>
        <v>1623996332.5094838</v>
      </c>
      <c r="I9" s="136">
        <f t="shared" si="3"/>
        <v>1089831921.1138232</v>
      </c>
      <c r="J9" s="136">
        <f t="shared" si="4"/>
        <v>534164411.39566088</v>
      </c>
    </row>
    <row r="10" spans="1:17" x14ac:dyDescent="0.15">
      <c r="A10" s="129" t="s">
        <v>27</v>
      </c>
      <c r="B10" s="78">
        <v>118898.97356728668</v>
      </c>
      <c r="C10" s="25">
        <v>5149.1997377769458</v>
      </c>
      <c r="D10" s="25">
        <v>7561.5890413840016</v>
      </c>
      <c r="E10" s="25">
        <f t="shared" si="0"/>
        <v>938001307.8672725</v>
      </c>
      <c r="F10" s="24">
        <v>38.125</v>
      </c>
      <c r="G10" s="25">
        <f t="shared" si="1"/>
        <v>2882.8558220276504</v>
      </c>
      <c r="H10" s="25">
        <f t="shared" si="2"/>
        <v>357612998.62439764</v>
      </c>
      <c r="I10" s="136">
        <f t="shared" si="3"/>
        <v>342768598.18156415</v>
      </c>
      <c r="J10" s="136">
        <f t="shared" si="4"/>
        <v>14844400.442833519</v>
      </c>
    </row>
    <row r="11" spans="1:17" x14ac:dyDescent="0.15">
      <c r="A11" s="129" t="s">
        <v>28</v>
      </c>
      <c r="B11" s="78">
        <v>182393.23341969785</v>
      </c>
      <c r="C11" s="25">
        <v>23826.238816900215</v>
      </c>
      <c r="D11" s="25">
        <v>7448.5854614755344</v>
      </c>
      <c r="E11" s="25">
        <f t="shared" si="0"/>
        <v>1536043362.7746818</v>
      </c>
      <c r="F11" s="24">
        <v>30.25</v>
      </c>
      <c r="G11" s="25">
        <f t="shared" si="1"/>
        <v>2253.1971020963492</v>
      </c>
      <c r="H11" s="25">
        <f t="shared" si="2"/>
        <v>464653117.23934126</v>
      </c>
      <c r="I11" s="136">
        <f t="shared" si="3"/>
        <v>410967904.98324621</v>
      </c>
      <c r="J11" s="136">
        <f t="shared" si="4"/>
        <v>53685212.256095111</v>
      </c>
    </row>
    <row r="12" spans="1:17" x14ac:dyDescent="0.15">
      <c r="A12" s="129" t="s">
        <v>20</v>
      </c>
      <c r="B12" s="179">
        <f>SUM(B3:B11)</f>
        <v>1874480.7190119973</v>
      </c>
      <c r="C12" s="137">
        <f>SUM(C3:C11)</f>
        <v>507094.61443368602</v>
      </c>
      <c r="D12" s="8"/>
      <c r="E12" s="137">
        <f>SUM(E3:E11)</f>
        <v>15632340736.558704</v>
      </c>
      <c r="F12" s="8"/>
      <c r="G12" s="137"/>
      <c r="H12" s="137">
        <f>SUM(H3:H11)</f>
        <v>5316185923.8220005</v>
      </c>
      <c r="I12" s="137">
        <f t="shared" ref="I12:J12" si="5">SUM(I3:I11)</f>
        <v>4138041964.4831567</v>
      </c>
      <c r="J12" s="137">
        <f t="shared" si="5"/>
        <v>1178143959.3388441</v>
      </c>
    </row>
    <row r="13" spans="1:17" x14ac:dyDescent="0.15">
      <c r="A13" s="13"/>
      <c r="B13" s="51"/>
      <c r="G13" s="19"/>
      <c r="I13" s="19"/>
    </row>
    <row r="14" spans="1:17" x14ac:dyDescent="0.15">
      <c r="A14" s="1" t="s">
        <v>194</v>
      </c>
      <c r="B14" s="2"/>
      <c r="C14" s="2"/>
      <c r="G14" s="19"/>
      <c r="I14" s="19"/>
    </row>
    <row r="15" spans="1:17" x14ac:dyDescent="0.15">
      <c r="A15" s="5" t="s">
        <v>46</v>
      </c>
      <c r="B15" s="2"/>
      <c r="G15" s="19"/>
      <c r="I15" s="19"/>
    </row>
    <row r="16" spans="1:17" ht="60" x14ac:dyDescent="0.15">
      <c r="A16" s="180" t="s">
        <v>5</v>
      </c>
      <c r="B16" s="76" t="s">
        <v>6</v>
      </c>
      <c r="C16" s="130" t="s">
        <v>195</v>
      </c>
      <c r="D16" s="130" t="s">
        <v>196</v>
      </c>
      <c r="I16" s="19"/>
    </row>
    <row r="17" spans="1:13" ht="15" x14ac:dyDescent="0.15">
      <c r="A17" s="168" t="s">
        <v>7</v>
      </c>
      <c r="B17" s="181" t="s">
        <v>8</v>
      </c>
      <c r="C17" s="181" t="s">
        <v>9</v>
      </c>
      <c r="D17" s="181" t="s">
        <v>9</v>
      </c>
      <c r="I17" s="19"/>
    </row>
    <row r="18" spans="1:13" ht="31" x14ac:dyDescent="0.2">
      <c r="A18" s="168" t="s">
        <v>10</v>
      </c>
      <c r="B18" s="181" t="s">
        <v>11</v>
      </c>
      <c r="C18" s="77" t="s">
        <v>179</v>
      </c>
      <c r="D18" s="77" t="s">
        <v>179</v>
      </c>
      <c r="I18" s="19"/>
    </row>
    <row r="19" spans="1:13" ht="30" x14ac:dyDescent="0.15">
      <c r="A19" s="168" t="s">
        <v>12</v>
      </c>
      <c r="B19" s="181" t="s">
        <v>13</v>
      </c>
      <c r="C19" s="181">
        <v>0.64</v>
      </c>
      <c r="D19" s="171">
        <v>0.55000000000000004</v>
      </c>
      <c r="I19" s="19"/>
    </row>
    <row r="20" spans="1:13" ht="30" x14ac:dyDescent="0.15">
      <c r="A20" s="168" t="s">
        <v>14</v>
      </c>
      <c r="B20" s="181" t="s">
        <v>15</v>
      </c>
      <c r="C20" s="181">
        <v>0.6</v>
      </c>
      <c r="D20" s="171">
        <v>0.75</v>
      </c>
      <c r="G20" s="19"/>
      <c r="I20" s="19"/>
    </row>
    <row r="21" spans="1:13" x14ac:dyDescent="0.15">
      <c r="A21" s="182"/>
      <c r="B21" s="183"/>
      <c r="C21" s="183"/>
      <c r="D21" s="184"/>
      <c r="G21" s="19"/>
      <c r="I21" s="19"/>
    </row>
    <row r="22" spans="1:13" x14ac:dyDescent="0.15">
      <c r="A22" s="13"/>
      <c r="B22" s="52"/>
      <c r="C22" s="7"/>
      <c r="G22" s="19"/>
      <c r="I22" s="19"/>
    </row>
    <row r="23" spans="1:13" x14ac:dyDescent="0.15">
      <c r="A23" s="26" t="s">
        <v>117</v>
      </c>
      <c r="B23" s="51"/>
      <c r="G23" s="19"/>
      <c r="I23" s="19"/>
    </row>
    <row r="24" spans="1:13" s="16" customFormat="1" ht="60" x14ac:dyDescent="0.15">
      <c r="A24" s="172" t="s">
        <v>19</v>
      </c>
      <c r="B24" s="173" t="s">
        <v>33</v>
      </c>
      <c r="C24" s="138" t="s">
        <v>40</v>
      </c>
      <c r="D24" s="174" t="s">
        <v>112</v>
      </c>
      <c r="E24" s="174" t="s">
        <v>113</v>
      </c>
      <c r="F24" s="174" t="s">
        <v>116</v>
      </c>
      <c r="G24" s="130" t="s">
        <v>114</v>
      </c>
      <c r="H24" s="130" t="s">
        <v>115</v>
      </c>
      <c r="I24" s="130" t="s">
        <v>62</v>
      </c>
      <c r="J24" s="174" t="s">
        <v>132</v>
      </c>
      <c r="K24" s="174" t="s">
        <v>133</v>
      </c>
      <c r="M24" s="53"/>
    </row>
    <row r="25" spans="1:13" x14ac:dyDescent="0.15">
      <c r="A25" s="129" t="s">
        <v>17</v>
      </c>
      <c r="B25" s="175">
        <v>48.075424754192412</v>
      </c>
      <c r="C25" s="171">
        <v>21.986594176128566</v>
      </c>
      <c r="D25" s="165">
        <f t="shared" ref="D25:D33" si="6">(I3*(($B25/12)-(0.25*($C25/12)))*$C$19)/$C$20</f>
        <v>2478845769.8264289</v>
      </c>
      <c r="E25" s="165">
        <f t="shared" ref="E25:E33" si="7">(J3*(($B25/12)-(0.25*($C25/12)))*$D$19)/$D$20</f>
        <v>312327572.58534306</v>
      </c>
      <c r="F25" s="165">
        <f>SUM(D25:E25)</f>
        <v>2791173342.4117718</v>
      </c>
      <c r="G25" s="176">
        <f>F25*(1/43560)</f>
        <v>64076.523012207799</v>
      </c>
      <c r="H25" s="55">
        <f>(G25*325851)/10^6</f>
        <v>20879.399100050923</v>
      </c>
      <c r="I25" s="55">
        <f t="shared" ref="I25:I33" si="8">G25/(B3+C3)</f>
        <v>0.14639481237415986</v>
      </c>
      <c r="J25" s="176">
        <f>D25*(1/43560)</f>
        <v>56906.46854514299</v>
      </c>
      <c r="K25" s="176">
        <f>E25*(1/43560)</f>
        <v>7170.0544670648087</v>
      </c>
      <c r="M25" s="19"/>
    </row>
    <row r="26" spans="1:13" x14ac:dyDescent="0.15">
      <c r="A26" s="129" t="s">
        <v>21</v>
      </c>
      <c r="B26" s="175">
        <v>50.060338909456803</v>
      </c>
      <c r="C26" s="171">
        <v>23.992041179090293</v>
      </c>
      <c r="D26" s="165">
        <f t="shared" si="6"/>
        <v>2921699743.0383844</v>
      </c>
      <c r="E26" s="165">
        <f t="shared" si="7"/>
        <v>538442888.154899</v>
      </c>
      <c r="F26" s="165">
        <f t="shared" ref="F26:F33" si="9">SUM(D26:E26)</f>
        <v>3460142631.1932836</v>
      </c>
      <c r="G26" s="176">
        <f t="shared" ref="G26:G34" si="10">F26*(1/43560)</f>
        <v>79433.944701406872</v>
      </c>
      <c r="H26" s="55">
        <f t="shared" ref="H26:H34" si="11">(G26*325851)/10^6</f>
        <v>25883.630314898131</v>
      </c>
      <c r="I26" s="55">
        <f t="shared" si="8"/>
        <v>0.19780503741173844</v>
      </c>
      <c r="J26" s="176">
        <f t="shared" ref="J26:J33" si="12">D26*(1/43560)</f>
        <v>67072.996855793943</v>
      </c>
      <c r="K26" s="176">
        <f t="shared" ref="K26:K33" si="13">E26*(1/43560)</f>
        <v>12360.947845612924</v>
      </c>
      <c r="M26" s="19"/>
    </row>
    <row r="27" spans="1:13" x14ac:dyDescent="0.15">
      <c r="A27" s="129" t="s">
        <v>22</v>
      </c>
      <c r="B27" s="175">
        <v>35.290231697862886</v>
      </c>
      <c r="C27" s="171">
        <v>36.936712348320654</v>
      </c>
      <c r="D27" s="165">
        <f t="shared" si="6"/>
        <v>496259085.59450591</v>
      </c>
      <c r="E27" s="165">
        <f t="shared" si="7"/>
        <v>69947809.681711525</v>
      </c>
      <c r="F27" s="165">
        <f t="shared" si="9"/>
        <v>566206895.27621746</v>
      </c>
      <c r="G27" s="176">
        <f t="shared" si="10"/>
        <v>12998.321746469639</v>
      </c>
      <c r="H27" s="55">
        <f t="shared" si="11"/>
        <v>4235.5161394088782</v>
      </c>
      <c r="I27" s="55">
        <f t="shared" si="8"/>
        <v>0.1282235933715529</v>
      </c>
      <c r="J27" s="176">
        <f t="shared" si="12"/>
        <v>11392.54099160941</v>
      </c>
      <c r="K27" s="176">
        <f t="shared" si="13"/>
        <v>1605.7807548602277</v>
      </c>
      <c r="M27" s="19"/>
    </row>
    <row r="28" spans="1:13" x14ac:dyDescent="0.15">
      <c r="A28" s="129" t="s">
        <v>23</v>
      </c>
      <c r="B28" s="175">
        <v>48.66744885886088</v>
      </c>
      <c r="C28" s="171">
        <v>29.853682559639733</v>
      </c>
      <c r="D28" s="165">
        <f t="shared" si="6"/>
        <v>401923354.94720626</v>
      </c>
      <c r="E28" s="165">
        <f t="shared" si="7"/>
        <v>185514951.20627439</v>
      </c>
      <c r="F28" s="165">
        <f t="shared" si="9"/>
        <v>587438306.15348065</v>
      </c>
      <c r="G28" s="176">
        <f t="shared" si="10"/>
        <v>13485.727873128573</v>
      </c>
      <c r="H28" s="55">
        <f t="shared" si="11"/>
        <v>4394.3379131868187</v>
      </c>
      <c r="I28" s="55">
        <f t="shared" si="8"/>
        <v>0.17776227454343732</v>
      </c>
      <c r="J28" s="176">
        <f t="shared" si="12"/>
        <v>9226.8906094399972</v>
      </c>
      <c r="K28" s="176">
        <f t="shared" si="13"/>
        <v>4258.8372636885761</v>
      </c>
      <c r="M28" s="19"/>
    </row>
    <row r="29" spans="1:13" x14ac:dyDescent="0.15">
      <c r="A29" s="129" t="s">
        <v>24</v>
      </c>
      <c r="B29" s="175">
        <v>31.254076952494</v>
      </c>
      <c r="C29" s="171">
        <v>22.98863508155328</v>
      </c>
      <c r="D29" s="165">
        <f t="shared" si="6"/>
        <v>164019510.0834451</v>
      </c>
      <c r="E29" s="165">
        <f t="shared" si="7"/>
        <v>3801430.660212859</v>
      </c>
      <c r="F29" s="165">
        <f t="shared" si="9"/>
        <v>167820940.74365795</v>
      </c>
      <c r="G29" s="176">
        <f t="shared" si="10"/>
        <v>3852.6386763925148</v>
      </c>
      <c r="H29" s="55">
        <f t="shared" si="11"/>
        <v>1255.3861653411773</v>
      </c>
      <c r="I29" s="55">
        <f t="shared" si="8"/>
        <v>3.2451033739348906E-2</v>
      </c>
      <c r="J29" s="176">
        <f t="shared" si="12"/>
        <v>3765.3698366263798</v>
      </c>
      <c r="K29" s="176">
        <f t="shared" si="13"/>
        <v>87.268839766135414</v>
      </c>
      <c r="M29" s="19"/>
    </row>
    <row r="30" spans="1:13" x14ac:dyDescent="0.15">
      <c r="A30" s="129" t="s">
        <v>25</v>
      </c>
      <c r="B30" s="175">
        <v>38.177704332056621</v>
      </c>
      <c r="C30" s="171">
        <v>29.10774090629803</v>
      </c>
      <c r="D30" s="165">
        <f t="shared" si="6"/>
        <v>1365699856.6800809</v>
      </c>
      <c r="E30" s="165">
        <f t="shared" si="7"/>
        <v>255709158.23285863</v>
      </c>
      <c r="F30" s="165">
        <f t="shared" si="9"/>
        <v>1621409014.9129395</v>
      </c>
      <c r="G30" s="176">
        <f t="shared" si="10"/>
        <v>37222.429176146456</v>
      </c>
      <c r="H30" s="55">
        <f t="shared" si="11"/>
        <v>12128.965769476499</v>
      </c>
      <c r="I30" s="55">
        <f t="shared" si="8"/>
        <v>0.15564217313957671</v>
      </c>
      <c r="J30" s="176">
        <f t="shared" si="12"/>
        <v>31352.154652894416</v>
      </c>
      <c r="K30" s="176">
        <f t="shared" si="13"/>
        <v>5870.2745232520347</v>
      </c>
      <c r="M30" s="19"/>
    </row>
    <row r="31" spans="1:13" x14ac:dyDescent="0.15">
      <c r="A31" s="129" t="s">
        <v>26</v>
      </c>
      <c r="B31" s="175">
        <v>51.652194181579837</v>
      </c>
      <c r="C31" s="171">
        <v>26.619584913621015</v>
      </c>
      <c r="D31" s="165">
        <f t="shared" si="6"/>
        <v>4359065926.5101662</v>
      </c>
      <c r="E31" s="165">
        <f t="shared" si="7"/>
        <v>1468863927.394886</v>
      </c>
      <c r="F31" s="165">
        <f t="shared" si="9"/>
        <v>5827929853.9050522</v>
      </c>
      <c r="G31" s="176">
        <f t="shared" si="10"/>
        <v>133790.85982334829</v>
      </c>
      <c r="H31" s="55">
        <f t="shared" si="11"/>
        <v>43595.885464297869</v>
      </c>
      <c r="I31" s="55">
        <f t="shared" si="8"/>
        <v>0.19764577658176849</v>
      </c>
      <c r="J31" s="176">
        <f t="shared" si="12"/>
        <v>100070.38398783669</v>
      </c>
      <c r="K31" s="176">
        <f t="shared" si="13"/>
        <v>33720.475835511614</v>
      </c>
      <c r="M31" s="19"/>
    </row>
    <row r="32" spans="1:13" x14ac:dyDescent="0.15">
      <c r="A32" s="129" t="s">
        <v>27</v>
      </c>
      <c r="B32" s="175">
        <v>49.363148335281217</v>
      </c>
      <c r="C32" s="171">
        <v>20.991865627247734</v>
      </c>
      <c r="D32" s="165">
        <f t="shared" si="6"/>
        <v>1344115472.7240968</v>
      </c>
      <c r="E32" s="165">
        <f t="shared" si="7"/>
        <v>40019431.598339759</v>
      </c>
      <c r="F32" s="165">
        <f t="shared" si="9"/>
        <v>1384134904.3224366</v>
      </c>
      <c r="G32" s="176">
        <f t="shared" si="10"/>
        <v>31775.365113003594</v>
      </c>
      <c r="H32" s="55">
        <f t="shared" si="11"/>
        <v>10354.034497437335</v>
      </c>
      <c r="I32" s="55">
        <f t="shared" si="8"/>
        <v>0.2561534302876069</v>
      </c>
      <c r="J32" s="176">
        <f t="shared" si="12"/>
        <v>30856.645379341062</v>
      </c>
      <c r="K32" s="176">
        <f t="shared" si="13"/>
        <v>918.71973366252882</v>
      </c>
      <c r="M32" s="19"/>
    </row>
    <row r="33" spans="1:14" x14ac:dyDescent="0.15">
      <c r="A33" s="129" t="s">
        <v>28</v>
      </c>
      <c r="B33" s="175">
        <v>44.373059642206385</v>
      </c>
      <c r="C33" s="171">
        <v>38.08727319903997</v>
      </c>
      <c r="D33" s="165">
        <f t="shared" si="6"/>
        <v>1273132590.2729504</v>
      </c>
      <c r="E33" s="165">
        <f t="shared" si="7"/>
        <v>114338662.09685528</v>
      </c>
      <c r="F33" s="165">
        <f t="shared" si="9"/>
        <v>1387471252.3698058</v>
      </c>
      <c r="G33" s="176">
        <f t="shared" si="10"/>
        <v>31851.957125110326</v>
      </c>
      <c r="H33" s="55">
        <f t="shared" si="11"/>
        <v>10378.992081174323</v>
      </c>
      <c r="I33" s="55">
        <f t="shared" si="8"/>
        <v>0.15445659316093194</v>
      </c>
      <c r="J33" s="176">
        <f t="shared" si="12"/>
        <v>29227.102623345967</v>
      </c>
      <c r="K33" s="176">
        <f t="shared" si="13"/>
        <v>2624.8545017643546</v>
      </c>
      <c r="M33" s="19"/>
    </row>
    <row r="34" spans="1:14" s="2" customFormat="1" x14ac:dyDescent="0.15">
      <c r="A34" s="131" t="s">
        <v>92</v>
      </c>
      <c r="B34" s="131"/>
      <c r="C34" s="131"/>
      <c r="D34" s="177">
        <f>SUM(D25:D33)</f>
        <v>14804761309.677265</v>
      </c>
      <c r="E34" s="177">
        <f>SUM(E25:E33)</f>
        <v>2988965831.6113801</v>
      </c>
      <c r="F34" s="177">
        <f>SUM(F25:F33)</f>
        <v>17793727141.288647</v>
      </c>
      <c r="G34" s="177">
        <f t="shared" si="10"/>
        <v>408487.7672472141</v>
      </c>
      <c r="H34" s="178">
        <f t="shared" si="11"/>
        <v>133106.14744527196</v>
      </c>
      <c r="I34" s="137"/>
      <c r="J34" s="177">
        <f>SUM(J25:J33)</f>
        <v>339870.55348203081</v>
      </c>
      <c r="K34" s="177">
        <f>SUM(K25:K33)</f>
        <v>68617.213765183202</v>
      </c>
    </row>
    <row r="35" spans="1:14" x14ac:dyDescent="0.15">
      <c r="A35" s="13"/>
      <c r="B35" s="51"/>
      <c r="G35" s="19"/>
      <c r="I35" s="19"/>
    </row>
    <row r="36" spans="1:14" x14ac:dyDescent="0.15">
      <c r="A36" s="13"/>
      <c r="B36" s="51"/>
      <c r="G36" s="19"/>
      <c r="I36" s="19"/>
    </row>
    <row r="37" spans="1:14" x14ac:dyDescent="0.15">
      <c r="A37" s="12" t="s">
        <v>197</v>
      </c>
      <c r="B37" s="179"/>
      <c r="C37" s="10"/>
      <c r="D37" s="10"/>
      <c r="E37" s="10"/>
      <c r="F37" s="10"/>
      <c r="G37" s="10"/>
      <c r="H37" s="10"/>
      <c r="I37" s="10"/>
      <c r="J37" s="10"/>
      <c r="K37" s="10"/>
    </row>
    <row r="38" spans="1:14" s="16" customFormat="1" ht="60" x14ac:dyDescent="0.15">
      <c r="A38" s="172" t="s">
        <v>19</v>
      </c>
      <c r="B38" s="173" t="s">
        <v>33</v>
      </c>
      <c r="C38" s="138" t="s">
        <v>40</v>
      </c>
      <c r="D38" s="174" t="s">
        <v>112</v>
      </c>
      <c r="E38" s="174" t="s">
        <v>113</v>
      </c>
      <c r="F38" s="174" t="s">
        <v>116</v>
      </c>
      <c r="G38" s="130" t="s">
        <v>114</v>
      </c>
      <c r="H38" s="130" t="s">
        <v>115</v>
      </c>
      <c r="I38" s="130" t="s">
        <v>62</v>
      </c>
      <c r="J38" s="174" t="s">
        <v>132</v>
      </c>
      <c r="K38" s="174" t="s">
        <v>133</v>
      </c>
    </row>
    <row r="39" spans="1:14" x14ac:dyDescent="0.15">
      <c r="A39" s="129" t="s">
        <v>17</v>
      </c>
      <c r="B39" s="175">
        <v>48.075424754192412</v>
      </c>
      <c r="C39" s="171">
        <v>21.986594176128566</v>
      </c>
      <c r="D39" s="165">
        <f t="shared" ref="D39:D47" si="14">(((0.5*I3)*(($B39/12)-(0.25*($C39/12)))*$C$19)/$C$20)+(((0.5*I3)*(($B39/12)-(0.25*($C39/12)))*$D$19)/$D$20)</f>
        <v>2091526118.2910495</v>
      </c>
      <c r="E39" s="165">
        <f t="shared" ref="E39:E47" si="15">(J3*(($B39/12)-(0.25*($C39/12)))*$D$19)/$D$20</f>
        <v>312327572.58534306</v>
      </c>
      <c r="F39" s="165">
        <f>SUM(D39:E39)</f>
        <v>2403853690.8763924</v>
      </c>
      <c r="G39" s="176">
        <f>F39*(1/43560)</f>
        <v>55184.887302029209</v>
      </c>
      <c r="H39" s="55">
        <f>(G39*325851)/10^6</f>
        <v>17982.05071225352</v>
      </c>
      <c r="I39" s="55">
        <f t="shared" ref="I39:I47" si="16">G39/($B3+$C3)</f>
        <v>0.12608020602070685</v>
      </c>
      <c r="J39" s="176">
        <f>D39*(1/43560)</f>
        <v>48014.8328349644</v>
      </c>
      <c r="K39" s="176">
        <f>E39*(1/43560)</f>
        <v>7170.0544670648087</v>
      </c>
      <c r="M39" s="20"/>
      <c r="N39" s="20"/>
    </row>
    <row r="40" spans="1:14" x14ac:dyDescent="0.15">
      <c r="A40" s="129" t="s">
        <v>21</v>
      </c>
      <c r="B40" s="175">
        <v>50.060338909456803</v>
      </c>
      <c r="C40" s="171">
        <v>23.992041179090293</v>
      </c>
      <c r="D40" s="165">
        <f t="shared" si="14"/>
        <v>2465184158.1886368</v>
      </c>
      <c r="E40" s="165">
        <f t="shared" si="15"/>
        <v>538442888.154899</v>
      </c>
      <c r="F40" s="165">
        <f t="shared" ref="F40:F47" si="17">SUM(D40:E40)</f>
        <v>3003627046.3435359</v>
      </c>
      <c r="G40" s="176">
        <f t="shared" ref="G40:G48" si="18">F40*(1/43560)</f>
        <v>68953.788942689062</v>
      </c>
      <c r="H40" s="55">
        <f t="shared" ref="H40:H48" si="19">(G40*325851)/10^6</f>
        <v>22468.66108076417</v>
      </c>
      <c r="I40" s="55">
        <f t="shared" si="16"/>
        <v>0.17170753451512971</v>
      </c>
      <c r="J40" s="176">
        <f t="shared" ref="J40:J47" si="20">D40*(1/43560)</f>
        <v>56592.84109707614</v>
      </c>
      <c r="K40" s="176">
        <f t="shared" ref="K40:K47" si="21">E40*(1/43560)</f>
        <v>12360.947845612924</v>
      </c>
      <c r="M40" s="20"/>
      <c r="N40" s="20"/>
    </row>
    <row r="41" spans="1:14" x14ac:dyDescent="0.15">
      <c r="A41" s="129" t="s">
        <v>22</v>
      </c>
      <c r="B41" s="175">
        <v>35.290231697862886</v>
      </c>
      <c r="C41" s="171">
        <v>36.936712348320654</v>
      </c>
      <c r="D41" s="165">
        <f t="shared" si="14"/>
        <v>418718603.47036433</v>
      </c>
      <c r="E41" s="165">
        <f t="shared" si="15"/>
        <v>69947809.681711525</v>
      </c>
      <c r="F41" s="165">
        <f t="shared" si="17"/>
        <v>488666413.15207589</v>
      </c>
      <c r="G41" s="176">
        <f t="shared" si="18"/>
        <v>11218.237216530668</v>
      </c>
      <c r="H41" s="55">
        <f t="shared" si="19"/>
        <v>3655.4738152437349</v>
      </c>
      <c r="I41" s="55">
        <f t="shared" si="16"/>
        <v>0.11066372376793433</v>
      </c>
      <c r="J41" s="176">
        <f t="shared" si="20"/>
        <v>9612.4564616704392</v>
      </c>
      <c r="K41" s="176">
        <f t="shared" si="21"/>
        <v>1605.7807548602277</v>
      </c>
      <c r="M41" s="20"/>
      <c r="N41" s="20"/>
    </row>
    <row r="42" spans="1:14" x14ac:dyDescent="0.15">
      <c r="A42" s="129" t="s">
        <v>23</v>
      </c>
      <c r="B42" s="175">
        <v>48.66744885886088</v>
      </c>
      <c r="C42" s="171">
        <v>29.853682559639733</v>
      </c>
      <c r="D42" s="165">
        <f t="shared" si="14"/>
        <v>339122830.7367053</v>
      </c>
      <c r="E42" s="165">
        <f t="shared" si="15"/>
        <v>185514951.20627439</v>
      </c>
      <c r="F42" s="165">
        <f t="shared" si="17"/>
        <v>524637781.94297969</v>
      </c>
      <c r="G42" s="176">
        <f t="shared" si="18"/>
        <v>12044.026215403574</v>
      </c>
      <c r="H42" s="55">
        <f t="shared" si="19"/>
        <v>3924.5579863154699</v>
      </c>
      <c r="I42" s="55">
        <f t="shared" si="16"/>
        <v>0.15875846783005262</v>
      </c>
      <c r="J42" s="176">
        <f t="shared" si="20"/>
        <v>7785.1889517149975</v>
      </c>
      <c r="K42" s="176">
        <f t="shared" si="21"/>
        <v>4258.8372636885761</v>
      </c>
      <c r="M42" s="20"/>
      <c r="N42" s="20"/>
    </row>
    <row r="43" spans="1:14" x14ac:dyDescent="0.15">
      <c r="A43" s="129" t="s">
        <v>24</v>
      </c>
      <c r="B43" s="175">
        <v>31.254076952494</v>
      </c>
      <c r="C43" s="171">
        <v>22.98863508155328</v>
      </c>
      <c r="D43" s="165">
        <f t="shared" si="14"/>
        <v>138391461.63290679</v>
      </c>
      <c r="E43" s="165">
        <f t="shared" si="15"/>
        <v>3801430.660212859</v>
      </c>
      <c r="F43" s="165">
        <f t="shared" si="17"/>
        <v>142192892.29311964</v>
      </c>
      <c r="G43" s="176">
        <f t="shared" si="18"/>
        <v>3264.2996394196425</v>
      </c>
      <c r="H43" s="55">
        <f t="shared" si="19"/>
        <v>1063.6753018045299</v>
      </c>
      <c r="I43" s="55">
        <f t="shared" si="16"/>
        <v>2.7495414605903448E-2</v>
      </c>
      <c r="J43" s="176">
        <f t="shared" si="20"/>
        <v>3177.0307996535075</v>
      </c>
      <c r="K43" s="176">
        <f t="shared" si="21"/>
        <v>87.268839766135414</v>
      </c>
      <c r="M43" s="20"/>
      <c r="N43" s="20"/>
    </row>
    <row r="44" spans="1:14" x14ac:dyDescent="0.15">
      <c r="A44" s="129" t="s">
        <v>25</v>
      </c>
      <c r="B44" s="175">
        <v>38.177704332056621</v>
      </c>
      <c r="C44" s="171">
        <v>29.10774090629803</v>
      </c>
      <c r="D44" s="165">
        <f t="shared" si="14"/>
        <v>1152309254.0738182</v>
      </c>
      <c r="E44" s="165">
        <f t="shared" si="15"/>
        <v>255709158.23285863</v>
      </c>
      <c r="F44" s="165">
        <f t="shared" si="17"/>
        <v>1408018412.3066769</v>
      </c>
      <c r="G44" s="176">
        <f t="shared" si="18"/>
        <v>32323.655011631698</v>
      </c>
      <c r="H44" s="55">
        <f t="shared" si="19"/>
        <v>10532.6953091952</v>
      </c>
      <c r="I44" s="55">
        <f t="shared" si="16"/>
        <v>0.13515839834140472</v>
      </c>
      <c r="J44" s="176">
        <f t="shared" si="20"/>
        <v>26453.380488379666</v>
      </c>
      <c r="K44" s="176">
        <f t="shared" si="21"/>
        <v>5870.2745232520347</v>
      </c>
      <c r="M44" s="20"/>
      <c r="N44" s="20"/>
    </row>
    <row r="45" spans="1:14" x14ac:dyDescent="0.15">
      <c r="A45" s="129" t="s">
        <v>26</v>
      </c>
      <c r="B45" s="175">
        <v>51.652194181579837</v>
      </c>
      <c r="C45" s="171">
        <v>26.619584913621015</v>
      </c>
      <c r="D45" s="165">
        <f t="shared" si="14"/>
        <v>3677961875.4929523</v>
      </c>
      <c r="E45" s="165">
        <f t="shared" si="15"/>
        <v>1468863927.394886</v>
      </c>
      <c r="F45" s="165">
        <f t="shared" si="17"/>
        <v>5146825802.8878384</v>
      </c>
      <c r="G45" s="176">
        <f t="shared" si="18"/>
        <v>118154.8623252488</v>
      </c>
      <c r="H45" s="55">
        <f t="shared" si="19"/>
        <v>38500.880043544646</v>
      </c>
      <c r="I45" s="55">
        <f t="shared" si="16"/>
        <v>0.17454712191864069</v>
      </c>
      <c r="J45" s="176">
        <f t="shared" si="20"/>
        <v>84434.386489737197</v>
      </c>
      <c r="K45" s="176">
        <f t="shared" si="21"/>
        <v>33720.475835511614</v>
      </c>
      <c r="M45" s="20"/>
      <c r="N45" s="20"/>
    </row>
    <row r="46" spans="1:14" x14ac:dyDescent="0.15">
      <c r="A46" s="129" t="s">
        <v>27</v>
      </c>
      <c r="B46" s="175">
        <v>49.363148335281217</v>
      </c>
      <c r="C46" s="171">
        <v>20.991865627247734</v>
      </c>
      <c r="D46" s="165">
        <f t="shared" si="14"/>
        <v>1134097430.1109567</v>
      </c>
      <c r="E46" s="165">
        <f t="shared" si="15"/>
        <v>40019431.598339759</v>
      </c>
      <c r="F46" s="165">
        <f t="shared" si="17"/>
        <v>1174116861.7092965</v>
      </c>
      <c r="G46" s="176">
        <f t="shared" si="18"/>
        <v>26954.014272481552</v>
      </c>
      <c r="H46" s="55">
        <f t="shared" si="19"/>
        <v>8782.9925047023862</v>
      </c>
      <c r="I46" s="55">
        <f t="shared" si="16"/>
        <v>0.21728666818974668</v>
      </c>
      <c r="J46" s="176">
        <f t="shared" si="20"/>
        <v>26035.294538819024</v>
      </c>
      <c r="K46" s="176">
        <f t="shared" si="21"/>
        <v>918.71973366252882</v>
      </c>
      <c r="M46" s="20"/>
      <c r="N46" s="20"/>
    </row>
    <row r="47" spans="1:14" x14ac:dyDescent="0.15">
      <c r="A47" s="129" t="s">
        <v>28</v>
      </c>
      <c r="B47" s="175">
        <v>44.373059642206385</v>
      </c>
      <c r="C47" s="171">
        <v>38.08727319903997</v>
      </c>
      <c r="D47" s="165">
        <f t="shared" si="14"/>
        <v>1074205623.0428019</v>
      </c>
      <c r="E47" s="165">
        <f t="shared" si="15"/>
        <v>114338662.09685528</v>
      </c>
      <c r="F47" s="165">
        <f t="shared" si="17"/>
        <v>1188544285.139657</v>
      </c>
      <c r="G47" s="176">
        <f t="shared" si="18"/>
        <v>27285.222340212509</v>
      </c>
      <c r="H47" s="55">
        <f t="shared" si="19"/>
        <v>8890.9169847805861</v>
      </c>
      <c r="I47" s="55">
        <f t="shared" si="16"/>
        <v>0.13231157098931884</v>
      </c>
      <c r="J47" s="176">
        <f t="shared" si="20"/>
        <v>24660.367838448161</v>
      </c>
      <c r="K47" s="176">
        <f t="shared" si="21"/>
        <v>2624.8545017643546</v>
      </c>
      <c r="M47" s="20"/>
      <c r="N47" s="20"/>
    </row>
    <row r="48" spans="1:14" s="2" customFormat="1" x14ac:dyDescent="0.15">
      <c r="A48" s="131" t="s">
        <v>92</v>
      </c>
      <c r="B48" s="131"/>
      <c r="C48" s="131"/>
      <c r="D48" s="177">
        <f>SUM(D39:D47)</f>
        <v>12491517355.040192</v>
      </c>
      <c r="E48" s="177">
        <f>SUM(E39:E47)</f>
        <v>2988965831.6113801</v>
      </c>
      <c r="F48" s="177">
        <f>SUM(F39:F47)</f>
        <v>15480483186.651573</v>
      </c>
      <c r="G48" s="177">
        <f t="shared" si="18"/>
        <v>355382.99326564674</v>
      </c>
      <c r="H48" s="178">
        <f t="shared" si="19"/>
        <v>115801.90373860426</v>
      </c>
      <c r="I48" s="137"/>
      <c r="J48" s="177">
        <f>SUM(J39:J47)</f>
        <v>286765.77950046357</v>
      </c>
      <c r="K48" s="177">
        <f>SUM(K39:K47)</f>
        <v>68617.213765183202</v>
      </c>
    </row>
    <row r="51" spans="1:11" x14ac:dyDescent="0.15">
      <c r="A51" s="5" t="s">
        <v>198</v>
      </c>
    </row>
    <row r="52" spans="1:11" ht="60" x14ac:dyDescent="0.15">
      <c r="A52" s="172" t="s">
        <v>19</v>
      </c>
      <c r="B52" s="173" t="s">
        <v>33</v>
      </c>
      <c r="C52" s="138" t="s">
        <v>40</v>
      </c>
      <c r="D52" s="174" t="s">
        <v>112</v>
      </c>
      <c r="E52" s="174" t="s">
        <v>113</v>
      </c>
      <c r="F52" s="174" t="s">
        <v>116</v>
      </c>
      <c r="G52" s="130" t="s">
        <v>114</v>
      </c>
      <c r="H52" s="130" t="s">
        <v>115</v>
      </c>
      <c r="I52" s="130" t="s">
        <v>62</v>
      </c>
      <c r="J52" s="174" t="s">
        <v>132</v>
      </c>
      <c r="K52" s="174" t="s">
        <v>133</v>
      </c>
    </row>
    <row r="53" spans="1:11" x14ac:dyDescent="0.15">
      <c r="A53" s="129" t="s">
        <v>17</v>
      </c>
      <c r="B53" s="175">
        <v>48.075424754192412</v>
      </c>
      <c r="C53" s="171">
        <v>21.986594176128566</v>
      </c>
      <c r="D53" s="165">
        <f t="shared" ref="D53:D61" si="22">(I3*(($B53/12)-(0.25*($C53/12)))*$D$19)/$D$20</f>
        <v>1704206466.7556698</v>
      </c>
      <c r="E53" s="165">
        <f t="shared" ref="E53:E61" si="23">(J3*(($B53/12)-(0.25*($C53/12)))*$D$19)/$D$20</f>
        <v>312327572.58534306</v>
      </c>
      <c r="F53" s="165">
        <f>SUM(D53:E53)</f>
        <v>2016534039.341013</v>
      </c>
      <c r="G53" s="176">
        <f>F53*(1/43560)</f>
        <v>46293.251591850618</v>
      </c>
      <c r="H53" s="55">
        <f>(G53*325851)/10^6</f>
        <v>15084.702324456115</v>
      </c>
      <c r="I53" s="55">
        <f t="shared" ref="I53:I61" si="24">G53/(B3+C3)</f>
        <v>0.10576559966725384</v>
      </c>
      <c r="J53" s="176">
        <f>D53*(1/43560)</f>
        <v>39123.197124785809</v>
      </c>
      <c r="K53" s="176">
        <f>E53*(1/43560)</f>
        <v>7170.0544670648087</v>
      </c>
    </row>
    <row r="54" spans="1:11" x14ac:dyDescent="0.15">
      <c r="A54" s="129" t="s">
        <v>21</v>
      </c>
      <c r="B54" s="175">
        <v>50.060338909456803</v>
      </c>
      <c r="C54" s="171">
        <v>23.992041179090293</v>
      </c>
      <c r="D54" s="165">
        <f t="shared" si="22"/>
        <v>2008668573.3388894</v>
      </c>
      <c r="E54" s="165">
        <f t="shared" si="23"/>
        <v>538442888.154899</v>
      </c>
      <c r="F54" s="165">
        <f t="shared" ref="F54:F61" si="25">SUM(D54:E54)</f>
        <v>2547111461.4937882</v>
      </c>
      <c r="G54" s="176">
        <f t="shared" ref="G54:G62" si="26">F54*(1/43560)</f>
        <v>58473.633183971258</v>
      </c>
      <c r="H54" s="55">
        <f t="shared" ref="H54:H62" si="27">(G54*325851)/10^6</f>
        <v>19053.69184663022</v>
      </c>
      <c r="I54" s="55">
        <f t="shared" si="24"/>
        <v>0.14561003161852101</v>
      </c>
      <c r="J54" s="176">
        <f t="shared" ref="J54:J61" si="28">D54*(1/43560)</f>
        <v>46112.685338358337</v>
      </c>
      <c r="K54" s="176">
        <f t="shared" ref="K54:K61" si="29">E54*(1/43560)</f>
        <v>12360.947845612924</v>
      </c>
    </row>
    <row r="55" spans="1:11" x14ac:dyDescent="0.15">
      <c r="A55" s="129" t="s">
        <v>22</v>
      </c>
      <c r="B55" s="175">
        <v>35.290231697862886</v>
      </c>
      <c r="C55" s="171">
        <v>36.936712348320654</v>
      </c>
      <c r="D55" s="165">
        <f t="shared" si="22"/>
        <v>341178121.34622282</v>
      </c>
      <c r="E55" s="165">
        <f t="shared" si="23"/>
        <v>69947809.681711525</v>
      </c>
      <c r="F55" s="165">
        <f t="shared" si="25"/>
        <v>411125931.02793431</v>
      </c>
      <c r="G55" s="176">
        <f t="shared" si="26"/>
        <v>9438.1526865916967</v>
      </c>
      <c r="H55" s="55">
        <f t="shared" si="27"/>
        <v>3075.4314910785911</v>
      </c>
      <c r="I55" s="55">
        <f t="shared" si="24"/>
        <v>9.3103854164315755E-2</v>
      </c>
      <c r="J55" s="176">
        <f t="shared" si="28"/>
        <v>7832.371931731469</v>
      </c>
      <c r="K55" s="176">
        <f t="shared" si="29"/>
        <v>1605.7807548602277</v>
      </c>
    </row>
    <row r="56" spans="1:11" x14ac:dyDescent="0.15">
      <c r="A56" s="129" t="s">
        <v>23</v>
      </c>
      <c r="B56" s="175">
        <v>48.66744885886088</v>
      </c>
      <c r="C56" s="171">
        <v>29.853682559639733</v>
      </c>
      <c r="D56" s="165">
        <f t="shared" si="22"/>
        <v>276322306.52620429</v>
      </c>
      <c r="E56" s="165">
        <f t="shared" si="23"/>
        <v>185514951.20627439</v>
      </c>
      <c r="F56" s="165">
        <f t="shared" si="25"/>
        <v>461837257.73247868</v>
      </c>
      <c r="G56" s="176">
        <f t="shared" si="26"/>
        <v>10602.324557678574</v>
      </c>
      <c r="H56" s="55">
        <f t="shared" si="27"/>
        <v>3454.778059444121</v>
      </c>
      <c r="I56" s="55">
        <f t="shared" si="24"/>
        <v>0.1397546611166679</v>
      </c>
      <c r="J56" s="176">
        <f t="shared" si="28"/>
        <v>6343.4872939899969</v>
      </c>
      <c r="K56" s="176">
        <f t="shared" si="29"/>
        <v>4258.8372636885761</v>
      </c>
    </row>
    <row r="57" spans="1:11" x14ac:dyDescent="0.15">
      <c r="A57" s="129" t="s">
        <v>24</v>
      </c>
      <c r="B57" s="175">
        <v>31.254076952494</v>
      </c>
      <c r="C57" s="171">
        <v>22.98863508155328</v>
      </c>
      <c r="D57" s="165">
        <f t="shared" si="22"/>
        <v>112763413.1823685</v>
      </c>
      <c r="E57" s="165">
        <f t="shared" si="23"/>
        <v>3801430.660212859</v>
      </c>
      <c r="F57" s="165">
        <f t="shared" si="25"/>
        <v>116564843.84258136</v>
      </c>
      <c r="G57" s="176">
        <f t="shared" si="26"/>
        <v>2675.9606024467712</v>
      </c>
      <c r="H57" s="55">
        <f t="shared" si="27"/>
        <v>871.96443826788277</v>
      </c>
      <c r="I57" s="55">
        <f t="shared" si="24"/>
        <v>2.2539795472458001E-2</v>
      </c>
      <c r="J57" s="176">
        <f t="shared" si="28"/>
        <v>2588.6917626806357</v>
      </c>
      <c r="K57" s="176">
        <f t="shared" si="29"/>
        <v>87.268839766135414</v>
      </c>
    </row>
    <row r="58" spans="1:11" x14ac:dyDescent="0.15">
      <c r="A58" s="129" t="s">
        <v>25</v>
      </c>
      <c r="B58" s="175">
        <v>38.177704332056621</v>
      </c>
      <c r="C58" s="171">
        <v>29.10774090629803</v>
      </c>
      <c r="D58" s="165">
        <f t="shared" si="22"/>
        <v>938918651.46755564</v>
      </c>
      <c r="E58" s="165">
        <f t="shared" si="23"/>
        <v>255709158.23285863</v>
      </c>
      <c r="F58" s="165">
        <f t="shared" si="25"/>
        <v>1194627809.7004142</v>
      </c>
      <c r="G58" s="176">
        <f t="shared" si="26"/>
        <v>27424.880847116947</v>
      </c>
      <c r="H58" s="55">
        <f t="shared" si="27"/>
        <v>8936.4248489139045</v>
      </c>
      <c r="I58" s="55">
        <f t="shared" si="24"/>
        <v>0.11467462354323273</v>
      </c>
      <c r="J58" s="176">
        <f t="shared" si="28"/>
        <v>21554.606323864911</v>
      </c>
      <c r="K58" s="176">
        <f t="shared" si="29"/>
        <v>5870.2745232520347</v>
      </c>
    </row>
    <row r="59" spans="1:11" x14ac:dyDescent="0.15">
      <c r="A59" s="129" t="s">
        <v>26</v>
      </c>
      <c r="B59" s="175">
        <v>51.652194181579837</v>
      </c>
      <c r="C59" s="171">
        <v>26.619584913621015</v>
      </c>
      <c r="D59" s="165">
        <f t="shared" si="22"/>
        <v>2996857824.475739</v>
      </c>
      <c r="E59" s="165">
        <f t="shared" si="23"/>
        <v>1468863927.394886</v>
      </c>
      <c r="F59" s="165">
        <f t="shared" si="25"/>
        <v>4465721751.8706245</v>
      </c>
      <c r="G59" s="176">
        <f t="shared" si="26"/>
        <v>102518.86482714931</v>
      </c>
      <c r="H59" s="55">
        <f t="shared" si="27"/>
        <v>33405.874622791431</v>
      </c>
      <c r="I59" s="55">
        <f t="shared" si="24"/>
        <v>0.15144846725551289</v>
      </c>
      <c r="J59" s="176">
        <f t="shared" si="28"/>
        <v>68798.388991637708</v>
      </c>
      <c r="K59" s="176">
        <f t="shared" si="29"/>
        <v>33720.475835511614</v>
      </c>
    </row>
    <row r="60" spans="1:11" x14ac:dyDescent="0.15">
      <c r="A60" s="129" t="s">
        <v>27</v>
      </c>
      <c r="B60" s="175">
        <v>49.363148335281217</v>
      </c>
      <c r="C60" s="171">
        <v>20.991865627247734</v>
      </c>
      <c r="D60" s="165">
        <f t="shared" si="22"/>
        <v>924079387.49781656</v>
      </c>
      <c r="E60" s="165">
        <f t="shared" si="23"/>
        <v>40019431.598339759</v>
      </c>
      <c r="F60" s="165">
        <f t="shared" si="25"/>
        <v>964098819.09615636</v>
      </c>
      <c r="G60" s="176">
        <f t="shared" si="26"/>
        <v>22132.66343195951</v>
      </c>
      <c r="H60" s="55">
        <f t="shared" si="27"/>
        <v>7211.9505119674386</v>
      </c>
      <c r="I60" s="55">
        <f t="shared" si="24"/>
        <v>0.17841990609188646</v>
      </c>
      <c r="J60" s="176">
        <f t="shared" si="28"/>
        <v>21213.943698296982</v>
      </c>
      <c r="K60" s="176">
        <f t="shared" si="29"/>
        <v>918.71973366252882</v>
      </c>
    </row>
    <row r="61" spans="1:11" x14ac:dyDescent="0.15">
      <c r="A61" s="129" t="s">
        <v>28</v>
      </c>
      <c r="B61" s="175">
        <v>44.373059642206385</v>
      </c>
      <c r="C61" s="171">
        <v>38.08727319903997</v>
      </c>
      <c r="D61" s="165">
        <f t="shared" si="22"/>
        <v>875278655.81265342</v>
      </c>
      <c r="E61" s="165">
        <f t="shared" si="23"/>
        <v>114338662.09685528</v>
      </c>
      <c r="F61" s="165">
        <f t="shared" si="25"/>
        <v>989617317.90950871</v>
      </c>
      <c r="G61" s="176">
        <f t="shared" si="26"/>
        <v>22718.487555314707</v>
      </c>
      <c r="H61" s="55">
        <f t="shared" si="27"/>
        <v>7402.8418883868526</v>
      </c>
      <c r="I61" s="55">
        <f t="shared" si="24"/>
        <v>0.11016654881770581</v>
      </c>
      <c r="J61" s="176">
        <f t="shared" si="28"/>
        <v>20093.633053550355</v>
      </c>
      <c r="K61" s="176">
        <f t="shared" si="29"/>
        <v>2624.8545017643546</v>
      </c>
    </row>
    <row r="62" spans="1:11" s="2" customFormat="1" x14ac:dyDescent="0.15">
      <c r="A62" s="131" t="s">
        <v>92</v>
      </c>
      <c r="B62" s="131"/>
      <c r="C62" s="131"/>
      <c r="D62" s="177">
        <f>SUM(D53:D61)</f>
        <v>10178273400.403118</v>
      </c>
      <c r="E62" s="177">
        <f>SUM(E53:E61)</f>
        <v>2988965831.6113801</v>
      </c>
      <c r="F62" s="177">
        <f>SUM(F53:F61)</f>
        <v>13167239232.0145</v>
      </c>
      <c r="G62" s="177">
        <f t="shared" si="26"/>
        <v>302278.21928407939</v>
      </c>
      <c r="H62" s="178">
        <f t="shared" si="27"/>
        <v>98497.660031936553</v>
      </c>
      <c r="I62" s="137"/>
      <c r="J62" s="177">
        <f>SUM(J53:J61)</f>
        <v>233661.00551889621</v>
      </c>
      <c r="K62" s="177">
        <f>SUM(K53:K61)</f>
        <v>68617.213765183202</v>
      </c>
    </row>
    <row r="69" spans="1:1" x14ac:dyDescent="0.15">
      <c r="A69" s="2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8">
    <tabColor theme="4" tint="0.39997558519241921"/>
  </sheetPr>
  <dimension ref="A1:Q69"/>
  <sheetViews>
    <sheetView topLeftCell="A14" zoomScale="90" zoomScaleNormal="90" workbookViewId="0">
      <selection activeCell="A51" sqref="A51:XFD51"/>
    </sheetView>
  </sheetViews>
  <sheetFormatPr baseColWidth="10" defaultColWidth="8.83203125" defaultRowHeight="14" x14ac:dyDescent="0.15"/>
  <cols>
    <col min="1" max="1" width="24.33203125" customWidth="1"/>
    <col min="2" max="2" width="15.1640625" customWidth="1"/>
    <col min="3" max="3" width="13.83203125" customWidth="1"/>
    <col min="4" max="4" width="18" customWidth="1"/>
    <col min="5" max="5" width="14.6640625" bestFit="1" customWidth="1"/>
    <col min="6" max="6" width="14.83203125" customWidth="1"/>
    <col min="7" max="7" width="14" customWidth="1"/>
    <col min="8" max="8" width="16.5" customWidth="1"/>
    <col min="9" max="9" width="16.33203125" customWidth="1"/>
    <col min="10" max="10" width="17.1640625" customWidth="1"/>
    <col min="11" max="11" width="10" customWidth="1"/>
    <col min="13" max="13" width="11.1640625" bestFit="1" customWidth="1"/>
    <col min="15" max="15" width="19.83203125" customWidth="1"/>
    <col min="16" max="16" width="11.83203125" customWidth="1"/>
    <col min="17" max="17" width="15.6640625" customWidth="1"/>
  </cols>
  <sheetData>
    <row r="1" spans="1:17" x14ac:dyDescent="0.15">
      <c r="A1" s="2" t="s">
        <v>192</v>
      </c>
    </row>
    <row r="2" spans="1:17" s="16" customFormat="1" ht="105" x14ac:dyDescent="0.15">
      <c r="A2" s="130" t="s">
        <v>19</v>
      </c>
      <c r="B2" s="130" t="s">
        <v>105</v>
      </c>
      <c r="C2" s="130" t="s">
        <v>106</v>
      </c>
      <c r="D2" s="130" t="s">
        <v>53</v>
      </c>
      <c r="E2" s="130" t="s">
        <v>54</v>
      </c>
      <c r="F2" s="130" t="s">
        <v>55</v>
      </c>
      <c r="G2" s="130" t="s">
        <v>56</v>
      </c>
      <c r="H2" s="130" t="s">
        <v>109</v>
      </c>
      <c r="I2" s="130" t="s">
        <v>110</v>
      </c>
      <c r="J2" s="130" t="s">
        <v>111</v>
      </c>
      <c r="O2"/>
      <c r="P2"/>
      <c r="Q2"/>
    </row>
    <row r="3" spans="1:17" x14ac:dyDescent="0.15">
      <c r="A3" s="129" t="s">
        <v>17</v>
      </c>
      <c r="B3" s="78">
        <v>369904.74452818494</v>
      </c>
      <c r="C3" s="25">
        <v>18994.32143626114</v>
      </c>
      <c r="D3" s="25">
        <v>5966.6178715944261</v>
      </c>
      <c r="E3" s="25">
        <f>(B3+C3)*D3</f>
        <v>2320412117.2298436</v>
      </c>
      <c r="F3" s="24">
        <v>29.675000000000001</v>
      </c>
      <c r="G3" s="25">
        <f>D3*(F3/100)</f>
        <v>1770.593853395646</v>
      </c>
      <c r="H3" s="25">
        <f>(B3+C3)*G3</f>
        <v>688582295.787956</v>
      </c>
      <c r="I3" s="136">
        <f>B3*G3</f>
        <v>654951067.00349092</v>
      </c>
      <c r="J3" s="136">
        <f>C3*G3</f>
        <v>33631228.784465134</v>
      </c>
    </row>
    <row r="4" spans="1:17" x14ac:dyDescent="0.15">
      <c r="A4" s="129" t="s">
        <v>21</v>
      </c>
      <c r="B4" s="78">
        <v>316686.18450113013</v>
      </c>
      <c r="C4" s="25">
        <v>19596.243103841945</v>
      </c>
      <c r="D4" s="25">
        <v>7937.8121034522737</v>
      </c>
      <c r="E4" s="25">
        <f t="shared" ref="E4:E11" si="0">(B4+C4)*D4</f>
        <v>2669346724.0210605</v>
      </c>
      <c r="F4" s="24">
        <v>29.675000000000001</v>
      </c>
      <c r="G4" s="25">
        <f t="shared" ref="G4:G11" si="1">D4*(F4/100)</f>
        <v>2355.5457416994623</v>
      </c>
      <c r="H4" s="25">
        <f t="shared" ref="H4:H11" si="2">(B4+C4)*G4</f>
        <v>792128640.35324967</v>
      </c>
      <c r="I4" s="136">
        <f t="shared" ref="I4:I11" si="3">B4*G4</f>
        <v>745968793.35668731</v>
      </c>
      <c r="J4" s="136">
        <f t="shared" ref="J4:J11" si="4">C4*G4</f>
        <v>46159846.996562347</v>
      </c>
    </row>
    <row r="5" spans="1:17" x14ac:dyDescent="0.15">
      <c r="A5" s="129" t="s">
        <v>22</v>
      </c>
      <c r="B5" s="78">
        <v>84125.109556779338</v>
      </c>
      <c r="C5" s="25">
        <v>6730.0469290648516</v>
      </c>
      <c r="D5" s="25">
        <v>8419.7914095213746</v>
      </c>
      <c r="E5" s="25">
        <f t="shared" si="0"/>
        <v>764981466.09023106</v>
      </c>
      <c r="F5" s="24">
        <v>30.25</v>
      </c>
      <c r="G5" s="25">
        <f t="shared" si="1"/>
        <v>2546.9869013802158</v>
      </c>
      <c r="H5" s="25">
        <f t="shared" si="2"/>
        <v>231406893.49229491</v>
      </c>
      <c r="I5" s="136">
        <f t="shared" si="3"/>
        <v>214265552.1182926</v>
      </c>
      <c r="J5" s="136">
        <f t="shared" si="4"/>
        <v>17141341.374002323</v>
      </c>
    </row>
    <row r="6" spans="1:17" x14ac:dyDescent="0.15">
      <c r="A6" s="129" t="s">
        <v>23</v>
      </c>
      <c r="B6" s="78">
        <v>45390.166190553187</v>
      </c>
      <c r="C6" s="25">
        <v>5855.2637175472228</v>
      </c>
      <c r="D6" s="25">
        <v>7992.2477413550223</v>
      </c>
      <c r="E6" s="25">
        <f t="shared" si="0"/>
        <v>409566171.43778265</v>
      </c>
      <c r="F6" s="24">
        <v>30.25</v>
      </c>
      <c r="G6" s="25">
        <f t="shared" si="1"/>
        <v>2417.654941759894</v>
      </c>
      <c r="H6" s="25">
        <f t="shared" si="2"/>
        <v>123893766.85992923</v>
      </c>
      <c r="I6" s="136">
        <f t="shared" si="3"/>
        <v>109737759.59789377</v>
      </c>
      <c r="J6" s="136">
        <f t="shared" si="4"/>
        <v>14156007.262035452</v>
      </c>
    </row>
    <row r="7" spans="1:17" x14ac:dyDescent="0.15">
      <c r="A7" s="129" t="s">
        <v>24</v>
      </c>
      <c r="B7" s="78">
        <v>114849.8337459996</v>
      </c>
      <c r="C7" s="25">
        <v>293.64322161566747</v>
      </c>
      <c r="D7" s="25">
        <v>3470.4280385934876</v>
      </c>
      <c r="E7" s="25">
        <f t="shared" si="0"/>
        <v>399597150.92955548</v>
      </c>
      <c r="F7" s="24">
        <v>18.149999999999999</v>
      </c>
      <c r="G7" s="25">
        <f t="shared" si="1"/>
        <v>629.88268900471803</v>
      </c>
      <c r="H7" s="25">
        <f t="shared" si="2"/>
        <v>72526882.893714324</v>
      </c>
      <c r="I7" s="136">
        <f t="shared" si="3"/>
        <v>72341922.111675039</v>
      </c>
      <c r="J7" s="136">
        <f t="shared" si="4"/>
        <v>184960.78203928497</v>
      </c>
    </row>
    <row r="8" spans="1:17" x14ac:dyDescent="0.15">
      <c r="A8" s="129" t="s">
        <v>25</v>
      </c>
      <c r="B8" s="78">
        <v>187963.1749193295</v>
      </c>
      <c r="C8" s="25">
        <v>17783.604103115966</v>
      </c>
      <c r="D8" s="25">
        <v>6432.204065670363</v>
      </c>
      <c r="E8" s="25">
        <f t="shared" si="0"/>
        <v>1323405268.5267556</v>
      </c>
      <c r="F8" s="24">
        <v>41.125</v>
      </c>
      <c r="G8" s="25">
        <f t="shared" si="1"/>
        <v>2645.2439220069368</v>
      </c>
      <c r="H8" s="25">
        <f t="shared" si="2"/>
        <v>544250416.68162823</v>
      </c>
      <c r="I8" s="136">
        <f t="shared" si="3"/>
        <v>497208446.01648307</v>
      </c>
      <c r="J8" s="136">
        <f t="shared" si="4"/>
        <v>47041970.665145129</v>
      </c>
    </row>
    <row r="9" spans="1:17" x14ac:dyDescent="0.15">
      <c r="A9" s="129" t="s">
        <v>26</v>
      </c>
      <c r="B9" s="78">
        <v>454269.29858303582</v>
      </c>
      <c r="C9" s="25">
        <v>42389.16521363888</v>
      </c>
      <c r="D9" s="25">
        <v>5833.6480868483814</v>
      </c>
      <c r="E9" s="25">
        <f t="shared" si="0"/>
        <v>2897330697.1445274</v>
      </c>
      <c r="F9" s="24">
        <v>41.125</v>
      </c>
      <c r="G9" s="25">
        <f t="shared" si="1"/>
        <v>2399.0877757163967</v>
      </c>
      <c r="H9" s="25">
        <f t="shared" si="2"/>
        <v>1191527249.2006867</v>
      </c>
      <c r="I9" s="136">
        <f t="shared" si="3"/>
        <v>1089831921.1138232</v>
      </c>
      <c r="J9" s="136">
        <f t="shared" si="4"/>
        <v>101695328.08686376</v>
      </c>
    </row>
    <row r="10" spans="1:17" x14ac:dyDescent="0.15">
      <c r="A10" s="129" t="s">
        <v>27</v>
      </c>
      <c r="B10" s="78">
        <v>118898.97356728668</v>
      </c>
      <c r="C10" s="25">
        <v>1540.2830711989016</v>
      </c>
      <c r="D10" s="25">
        <v>7561.5890413840016</v>
      </c>
      <c r="E10" s="25">
        <f t="shared" si="0"/>
        <v>910712163.15000796</v>
      </c>
      <c r="F10" s="24">
        <v>38.125</v>
      </c>
      <c r="G10" s="25">
        <f t="shared" si="1"/>
        <v>2882.8558220276504</v>
      </c>
      <c r="H10" s="25">
        <f t="shared" si="2"/>
        <v>347209012.20094055</v>
      </c>
      <c r="I10" s="136">
        <f t="shared" si="3"/>
        <v>342768598.18156415</v>
      </c>
      <c r="J10" s="136">
        <f t="shared" si="4"/>
        <v>4440414.0193763832</v>
      </c>
    </row>
    <row r="11" spans="1:17" x14ac:dyDescent="0.15">
      <c r="A11" s="129" t="s">
        <v>28</v>
      </c>
      <c r="B11" s="78">
        <v>182393.23341969785</v>
      </c>
      <c r="C11" s="25">
        <v>15268.486775777066</v>
      </c>
      <c r="D11" s="25">
        <v>7448.5854614755344</v>
      </c>
      <c r="E11" s="25">
        <f t="shared" si="0"/>
        <v>1472300215.3382595</v>
      </c>
      <c r="F11" s="24">
        <v>30.25</v>
      </c>
      <c r="G11" s="25">
        <f t="shared" si="1"/>
        <v>2253.1971020963492</v>
      </c>
      <c r="H11" s="25">
        <f t="shared" si="2"/>
        <v>445370815.1398235</v>
      </c>
      <c r="I11" s="136">
        <f t="shared" si="3"/>
        <v>410967904.98324621</v>
      </c>
      <c r="J11" s="136">
        <f t="shared" si="4"/>
        <v>34402910.156577319</v>
      </c>
    </row>
    <row r="12" spans="1:17" x14ac:dyDescent="0.15">
      <c r="A12" s="129" t="s">
        <v>20</v>
      </c>
      <c r="B12" s="185">
        <f>SUM(B3:B11)</f>
        <v>1874480.7190119973</v>
      </c>
      <c r="C12" s="137">
        <f>SUM(C3:C11)</f>
        <v>128451.05757206166</v>
      </c>
      <c r="D12" s="8"/>
      <c r="E12" s="137">
        <f>SUM(E3:E11)</f>
        <v>13167651973.868023</v>
      </c>
      <c r="F12" s="8"/>
      <c r="G12" s="137"/>
      <c r="H12" s="137">
        <f>SUM(H3:H11)</f>
        <v>4436895972.6102228</v>
      </c>
      <c r="I12" s="137">
        <f t="shared" ref="I12:J12" si="5">SUM(I3:I11)</f>
        <v>4138041964.4831567</v>
      </c>
      <c r="J12" s="137">
        <f t="shared" si="5"/>
        <v>298854008.12706715</v>
      </c>
    </row>
    <row r="13" spans="1:17" x14ac:dyDescent="0.15">
      <c r="A13" s="13"/>
      <c r="B13" s="51"/>
      <c r="G13" s="19"/>
      <c r="I13" s="19"/>
    </row>
    <row r="14" spans="1:17" x14ac:dyDescent="0.15">
      <c r="A14" s="1" t="s">
        <v>193</v>
      </c>
      <c r="B14" s="2"/>
      <c r="C14" s="2"/>
      <c r="G14" s="19"/>
      <c r="I14" s="19"/>
    </row>
    <row r="15" spans="1:17" x14ac:dyDescent="0.15">
      <c r="A15" s="5" t="s">
        <v>46</v>
      </c>
      <c r="B15" s="2"/>
      <c r="G15" s="19"/>
      <c r="I15" s="19"/>
    </row>
    <row r="16" spans="1:17" ht="60" x14ac:dyDescent="0.15">
      <c r="A16" s="180" t="s">
        <v>5</v>
      </c>
      <c r="B16" s="76" t="s">
        <v>6</v>
      </c>
      <c r="C16" s="130" t="s">
        <v>195</v>
      </c>
      <c r="D16" s="130" t="s">
        <v>196</v>
      </c>
      <c r="I16" s="19"/>
    </row>
    <row r="17" spans="1:13" ht="15" x14ac:dyDescent="0.15">
      <c r="A17" s="168" t="s">
        <v>7</v>
      </c>
      <c r="B17" s="181" t="s">
        <v>8</v>
      </c>
      <c r="C17" s="181" t="s">
        <v>9</v>
      </c>
      <c r="D17" s="181" t="s">
        <v>9</v>
      </c>
      <c r="I17" s="19"/>
    </row>
    <row r="18" spans="1:13" ht="46" x14ac:dyDescent="0.2">
      <c r="A18" s="168" t="s">
        <v>10</v>
      </c>
      <c r="B18" s="181" t="s">
        <v>11</v>
      </c>
      <c r="C18" s="77" t="s">
        <v>179</v>
      </c>
      <c r="D18" s="77" t="s">
        <v>179</v>
      </c>
      <c r="I18" s="19"/>
    </row>
    <row r="19" spans="1:13" ht="30" x14ac:dyDescent="0.15">
      <c r="A19" s="168" t="s">
        <v>12</v>
      </c>
      <c r="B19" s="181" t="s">
        <v>13</v>
      </c>
      <c r="C19" s="181">
        <v>0.64</v>
      </c>
      <c r="D19" s="171">
        <v>0.55000000000000004</v>
      </c>
      <c r="I19" s="19"/>
    </row>
    <row r="20" spans="1:13" ht="30" x14ac:dyDescent="0.15">
      <c r="A20" s="168" t="s">
        <v>14</v>
      </c>
      <c r="B20" s="181" t="s">
        <v>15</v>
      </c>
      <c r="C20" s="181">
        <v>0.6</v>
      </c>
      <c r="D20" s="171">
        <v>0.75</v>
      </c>
      <c r="G20" s="19"/>
      <c r="I20" s="19"/>
    </row>
    <row r="21" spans="1:13" x14ac:dyDescent="0.15">
      <c r="A21" s="13"/>
      <c r="B21" s="51"/>
      <c r="G21" s="19"/>
      <c r="I21" s="19"/>
    </row>
    <row r="22" spans="1:13" x14ac:dyDescent="0.15">
      <c r="A22" s="13"/>
      <c r="B22" s="52"/>
      <c r="C22" s="7"/>
      <c r="G22" s="19"/>
      <c r="I22" s="19"/>
    </row>
    <row r="23" spans="1:13" x14ac:dyDescent="0.15">
      <c r="A23" s="26" t="s">
        <v>117</v>
      </c>
      <c r="B23" s="51"/>
      <c r="G23" s="19"/>
      <c r="I23" s="19"/>
    </row>
    <row r="24" spans="1:13" s="16" customFormat="1" ht="60" x14ac:dyDescent="0.15">
      <c r="A24" s="172" t="s">
        <v>19</v>
      </c>
      <c r="B24" s="173" t="s">
        <v>33</v>
      </c>
      <c r="C24" s="138" t="s">
        <v>40</v>
      </c>
      <c r="D24" s="174" t="s">
        <v>112</v>
      </c>
      <c r="E24" s="174" t="s">
        <v>113</v>
      </c>
      <c r="F24" s="174" t="s">
        <v>116</v>
      </c>
      <c r="G24" s="130" t="s">
        <v>114</v>
      </c>
      <c r="H24" s="130" t="s">
        <v>115</v>
      </c>
      <c r="I24" s="130" t="s">
        <v>62</v>
      </c>
      <c r="J24" s="174" t="s">
        <v>132</v>
      </c>
      <c r="K24" s="174" t="s">
        <v>133</v>
      </c>
      <c r="M24" s="53"/>
    </row>
    <row r="25" spans="1:13" x14ac:dyDescent="0.15">
      <c r="A25" s="129" t="s">
        <v>17</v>
      </c>
      <c r="B25" s="175">
        <v>48.075424754192412</v>
      </c>
      <c r="C25" s="171">
        <v>21.986594176128566</v>
      </c>
      <c r="D25" s="165">
        <f t="shared" ref="D25:D33" si="6">(I3*(($B25/12)-(0.25*($C25/12)))*$C$19)/$C$20</f>
        <v>2478845769.8264289</v>
      </c>
      <c r="E25" s="165">
        <f t="shared" ref="E25:E33" si="7">(J3*(($B25/12)-(0.25*($C25/12)))*$D$19)/$D$20</f>
        <v>87509678.916393638</v>
      </c>
      <c r="F25" s="165">
        <f>SUM(D25:E25)</f>
        <v>2566355448.7428226</v>
      </c>
      <c r="G25" s="176">
        <f>F25*(2.29569*10^-5)</f>
        <v>58915.565401244108</v>
      </c>
      <c r="H25" s="55">
        <f>(G25*325851)/10^6</f>
        <v>19197.695901560794</v>
      </c>
      <c r="I25" s="55">
        <f t="shared" ref="I25:I33" si="8">G25/(B3+C3)</f>
        <v>0.15149320365462202</v>
      </c>
      <c r="J25" s="176">
        <f>D25*(2.29569*10^-5)</f>
        <v>56906.614453328344</v>
      </c>
      <c r="K25" s="176">
        <f>E25*(2.29569*10^-5)</f>
        <v>2008.9509479157571</v>
      </c>
      <c r="M25" s="19"/>
    </row>
    <row r="26" spans="1:13" x14ac:dyDescent="0.15">
      <c r="A26" s="129" t="s">
        <v>21</v>
      </c>
      <c r="B26" s="175">
        <v>50.060338909456803</v>
      </c>
      <c r="C26" s="171">
        <v>23.992041179090293</v>
      </c>
      <c r="D26" s="165">
        <f t="shared" si="6"/>
        <v>2921699743.0383844</v>
      </c>
      <c r="E26" s="165">
        <f t="shared" si="7"/>
        <v>124294521.21570458</v>
      </c>
      <c r="F26" s="165">
        <f t="shared" ref="F26:F33" si="9">SUM(D26:E26)</f>
        <v>3045994264.2540889</v>
      </c>
      <c r="G26" s="176">
        <f t="shared" ref="G26:G33" si="10">F26*(2.29569*10^-5)</f>
        <v>69926.585725054698</v>
      </c>
      <c r="H26" s="55">
        <f t="shared" ref="H26:H34" si="11">(G26*325851)/10^6</f>
        <v>22785.647885094801</v>
      </c>
      <c r="I26" s="55">
        <f t="shared" si="8"/>
        <v>0.20794005272019989</v>
      </c>
      <c r="J26" s="176">
        <f t="shared" ref="J26:K33" si="12">D26*(2.29569*10^-5)</f>
        <v>67073.168830957889</v>
      </c>
      <c r="K26" s="176">
        <f t="shared" si="12"/>
        <v>2853.4168940968084</v>
      </c>
      <c r="M26" s="19"/>
    </row>
    <row r="27" spans="1:13" x14ac:dyDescent="0.15">
      <c r="A27" s="129" t="s">
        <v>22</v>
      </c>
      <c r="B27" s="175">
        <v>35.290231697862886</v>
      </c>
      <c r="C27" s="171">
        <v>36.936712348320654</v>
      </c>
      <c r="D27" s="165">
        <f t="shared" si="6"/>
        <v>496259085.59450591</v>
      </c>
      <c r="E27" s="165">
        <f t="shared" si="7"/>
        <v>27294404.487883653</v>
      </c>
      <c r="F27" s="165">
        <f t="shared" si="9"/>
        <v>523553490.08238953</v>
      </c>
      <c r="G27" s="176">
        <f t="shared" si="10"/>
        <v>12019.165116472408</v>
      </c>
      <c r="H27" s="55">
        <f t="shared" si="11"/>
        <v>3916.4569723676505</v>
      </c>
      <c r="I27" s="55">
        <f t="shared" si="8"/>
        <v>0.13228930069968092</v>
      </c>
      <c r="J27" s="176">
        <f t="shared" si="12"/>
        <v>11392.570202084513</v>
      </c>
      <c r="K27" s="176">
        <f t="shared" si="12"/>
        <v>626.59491438789621</v>
      </c>
      <c r="M27" s="19"/>
    </row>
    <row r="28" spans="1:13" x14ac:dyDescent="0.15">
      <c r="A28" s="129" t="s">
        <v>23</v>
      </c>
      <c r="B28" s="175">
        <v>48.66744885886088</v>
      </c>
      <c r="C28" s="171">
        <v>29.853682559639733</v>
      </c>
      <c r="D28" s="165">
        <f t="shared" si="6"/>
        <v>401923354.94720626</v>
      </c>
      <c r="E28" s="165">
        <f t="shared" si="7"/>
        <v>35645165.27565787</v>
      </c>
      <c r="F28" s="165">
        <f t="shared" si="9"/>
        <v>437568520.22286415</v>
      </c>
      <c r="G28" s="176">
        <f t="shared" si="10"/>
        <v>10045.21676190427</v>
      </c>
      <c r="H28" s="55">
        <f t="shared" si="11"/>
        <v>3273.2439270832683</v>
      </c>
      <c r="I28" s="55">
        <f t="shared" si="8"/>
        <v>0.1960217092513144</v>
      </c>
      <c r="J28" s="176">
        <f t="shared" si="12"/>
        <v>9226.9142671875197</v>
      </c>
      <c r="K28" s="176">
        <f t="shared" si="12"/>
        <v>818.30249471675018</v>
      </c>
      <c r="M28" s="19"/>
    </row>
    <row r="29" spans="1:13" x14ac:dyDescent="0.15">
      <c r="A29" s="129" t="s">
        <v>24</v>
      </c>
      <c r="B29" s="175">
        <v>31.254076952494</v>
      </c>
      <c r="C29" s="171">
        <v>22.98863508155328</v>
      </c>
      <c r="D29" s="165">
        <f t="shared" si="6"/>
        <v>164019510.0834451</v>
      </c>
      <c r="E29" s="165">
        <f t="shared" si="7"/>
        <v>288308.7493228754</v>
      </c>
      <c r="F29" s="165">
        <f t="shared" si="9"/>
        <v>164307818.83276796</v>
      </c>
      <c r="G29" s="176">
        <f t="shared" si="10"/>
        <v>3771.9981661619709</v>
      </c>
      <c r="H29" s="55">
        <f t="shared" si="11"/>
        <v>1229.1093744420443</v>
      </c>
      <c r="I29" s="55">
        <f t="shared" si="8"/>
        <v>3.275911293891938E-2</v>
      </c>
      <c r="J29" s="176">
        <f t="shared" si="12"/>
        <v>3765.379491034641</v>
      </c>
      <c r="K29" s="176">
        <f t="shared" si="12"/>
        <v>6.6186751273303184</v>
      </c>
      <c r="M29" s="19"/>
    </row>
    <row r="30" spans="1:13" x14ac:dyDescent="0.15">
      <c r="A30" s="129" t="s">
        <v>25</v>
      </c>
      <c r="B30" s="175">
        <v>38.177704332056621</v>
      </c>
      <c r="C30" s="171">
        <v>29.10774090629803</v>
      </c>
      <c r="D30" s="165">
        <f t="shared" si="6"/>
        <v>1365699856.6800809</v>
      </c>
      <c r="E30" s="165">
        <f t="shared" si="7"/>
        <v>88833132.287197992</v>
      </c>
      <c r="F30" s="165">
        <f t="shared" si="9"/>
        <v>1454532988.967279</v>
      </c>
      <c r="G30" s="176">
        <f t="shared" si="10"/>
        <v>33391.568374422925</v>
      </c>
      <c r="H30" s="55">
        <f t="shared" si="11"/>
        <v>10880.675946374084</v>
      </c>
      <c r="I30" s="55">
        <f t="shared" si="8"/>
        <v>0.1622944890465583</v>
      </c>
      <c r="J30" s="176">
        <f t="shared" si="12"/>
        <v>31352.235039818948</v>
      </c>
      <c r="K30" s="176">
        <f t="shared" si="12"/>
        <v>2039.3333346039756</v>
      </c>
      <c r="M30" s="19"/>
    </row>
    <row r="31" spans="1:13" x14ac:dyDescent="0.15">
      <c r="A31" s="129" t="s">
        <v>26</v>
      </c>
      <c r="B31" s="175">
        <v>51.652194181579837</v>
      </c>
      <c r="C31" s="171">
        <v>26.619584913621015</v>
      </c>
      <c r="D31" s="165">
        <f t="shared" si="6"/>
        <v>4359065926.5101662</v>
      </c>
      <c r="E31" s="165">
        <f t="shared" si="7"/>
        <v>279645359.78930545</v>
      </c>
      <c r="F31" s="165">
        <f t="shared" si="9"/>
        <v>4638711286.2994719</v>
      </c>
      <c r="G31" s="176">
        <f t="shared" si="10"/>
        <v>106490.43112844834</v>
      </c>
      <c r="H31" s="55">
        <f t="shared" si="11"/>
        <v>34700.01347363602</v>
      </c>
      <c r="I31" s="55">
        <f t="shared" si="8"/>
        <v>0.21441380524231657</v>
      </c>
      <c r="J31" s="176">
        <f t="shared" si="12"/>
        <v>100070.64056830124</v>
      </c>
      <c r="K31" s="176">
        <f t="shared" si="12"/>
        <v>6419.7905601471066</v>
      </c>
      <c r="M31" s="19"/>
    </row>
    <row r="32" spans="1:13" x14ac:dyDescent="0.15">
      <c r="A32" s="129" t="s">
        <v>27</v>
      </c>
      <c r="B32" s="175">
        <v>49.363148335281217</v>
      </c>
      <c r="C32" s="171">
        <v>20.991865627247734</v>
      </c>
      <c r="D32" s="165">
        <f t="shared" si="6"/>
        <v>1344115472.7240968</v>
      </c>
      <c r="E32" s="165">
        <f t="shared" si="7"/>
        <v>11971035.529598119</v>
      </c>
      <c r="F32" s="165">
        <f t="shared" si="9"/>
        <v>1356086508.253695</v>
      </c>
      <c r="G32" s="176">
        <f t="shared" si="10"/>
        <v>31131.542361329251</v>
      </c>
      <c r="H32" s="55">
        <f t="shared" si="11"/>
        <v>10144.244209981498</v>
      </c>
      <c r="I32" s="55">
        <f t="shared" si="8"/>
        <v>0.25848334862091277</v>
      </c>
      <c r="J32" s="176">
        <f t="shared" si="12"/>
        <v>30856.724495779818</v>
      </c>
      <c r="K32" s="176">
        <f t="shared" si="12"/>
        <v>274.81786554943108</v>
      </c>
      <c r="M32" s="19"/>
    </row>
    <row r="33" spans="1:14" x14ac:dyDescent="0.15">
      <c r="A33" s="129" t="s">
        <v>28</v>
      </c>
      <c r="B33" s="175">
        <v>44.373059642206385</v>
      </c>
      <c r="C33" s="171">
        <v>38.08727319903997</v>
      </c>
      <c r="D33" s="165">
        <f t="shared" si="6"/>
        <v>1273132590.2729504</v>
      </c>
      <c r="E33" s="165">
        <f t="shared" si="7"/>
        <v>73271252.068017453</v>
      </c>
      <c r="F33" s="165">
        <f t="shared" si="9"/>
        <v>1346403842.3409679</v>
      </c>
      <c r="G33" s="176">
        <f t="shared" si="10"/>
        <v>30909.258368237366</v>
      </c>
      <c r="H33" s="55">
        <f t="shared" si="11"/>
        <v>10071.812748548513</v>
      </c>
      <c r="I33" s="55">
        <f t="shared" si="8"/>
        <v>0.15637452885500575</v>
      </c>
      <c r="J33" s="176">
        <f t="shared" si="12"/>
        <v>29227.177561637094</v>
      </c>
      <c r="K33" s="176">
        <f t="shared" si="12"/>
        <v>1682.0808066002699</v>
      </c>
      <c r="M33" s="19"/>
    </row>
    <row r="34" spans="1:14" s="2" customFormat="1" x14ac:dyDescent="0.15">
      <c r="A34" s="131" t="s">
        <v>92</v>
      </c>
      <c r="B34" s="131"/>
      <c r="C34" s="131"/>
      <c r="D34" s="177">
        <f>SUM(D25:D33)</f>
        <v>14804761309.677265</v>
      </c>
      <c r="E34" s="177">
        <f>SUM(E25:E33)</f>
        <v>728752858.31908166</v>
      </c>
      <c r="F34" s="177">
        <f>SUM(F25:F33)</f>
        <v>15533514167.996346</v>
      </c>
      <c r="G34" s="177">
        <f>(F34/365)*0.0084</f>
        <v>357483.61372923094</v>
      </c>
      <c r="H34" s="178">
        <f t="shared" si="11"/>
        <v>116486.39301728363</v>
      </c>
      <c r="I34" s="137"/>
      <c r="J34" s="8"/>
      <c r="K34" s="137"/>
    </row>
    <row r="35" spans="1:14" x14ac:dyDescent="0.15">
      <c r="A35" s="13"/>
      <c r="B35" s="51"/>
      <c r="G35" s="19"/>
      <c r="I35" s="19"/>
    </row>
    <row r="36" spans="1:14" x14ac:dyDescent="0.15">
      <c r="A36" s="13"/>
      <c r="B36" s="51"/>
      <c r="G36" s="19"/>
      <c r="I36" s="19"/>
    </row>
    <row r="37" spans="1:14" x14ac:dyDescent="0.15">
      <c r="A37" s="12" t="s">
        <v>197</v>
      </c>
      <c r="B37" s="51"/>
    </row>
    <row r="38" spans="1:14" s="16" customFormat="1" ht="60" x14ac:dyDescent="0.15">
      <c r="A38" s="172" t="s">
        <v>19</v>
      </c>
      <c r="B38" s="173" t="s">
        <v>33</v>
      </c>
      <c r="C38" s="138" t="s">
        <v>40</v>
      </c>
      <c r="D38" s="174" t="s">
        <v>112</v>
      </c>
      <c r="E38" s="174" t="s">
        <v>113</v>
      </c>
      <c r="F38" s="174" t="s">
        <v>116</v>
      </c>
      <c r="G38" s="130" t="s">
        <v>114</v>
      </c>
      <c r="H38" s="130" t="s">
        <v>115</v>
      </c>
      <c r="I38" s="130" t="s">
        <v>62</v>
      </c>
      <c r="J38" s="174" t="s">
        <v>132</v>
      </c>
      <c r="K38" s="174" t="s">
        <v>133</v>
      </c>
    </row>
    <row r="39" spans="1:14" x14ac:dyDescent="0.15">
      <c r="A39" s="129" t="s">
        <v>17</v>
      </c>
      <c r="B39" s="175">
        <v>48.075424754192412</v>
      </c>
      <c r="C39" s="171">
        <v>21.986594176128566</v>
      </c>
      <c r="D39" s="165">
        <f t="shared" ref="D39:D47" si="13">(((0.5*I3)*(($B39/12)-(0.25*($C39/12)))*$C$19)/$C$20)+(((0.5*I3)*(($B39/12)-(0.25*($C39/12)))*$D$19)/$D$20)</f>
        <v>2091526118.2910495</v>
      </c>
      <c r="E39" s="165">
        <f t="shared" ref="E39:E47" si="14">(J3*(($B39/12)-(0.25*($C39/12)))*$D$19)/$D$20</f>
        <v>87509678.916393638</v>
      </c>
      <c r="F39" s="165">
        <f>SUM(D39:E39)</f>
        <v>2179035797.2074432</v>
      </c>
      <c r="G39" s="176">
        <f>F39*(2.29569*10^-5)</f>
        <v>50023.906892911553</v>
      </c>
      <c r="H39" s="55">
        <f>(G39*325851)/10^6</f>
        <v>16300.340084962121</v>
      </c>
      <c r="I39" s="55">
        <f t="shared" ref="I39:I47" si="15">G39/($B3+$C3)</f>
        <v>0.1286295372524367</v>
      </c>
      <c r="J39" s="176">
        <f>D39*(2.29569*10^-5)</f>
        <v>48014.955944995796</v>
      </c>
      <c r="K39" s="176">
        <f>E39*(2.29569*10^-5)</f>
        <v>2008.9509479157571</v>
      </c>
      <c r="M39" s="20"/>
      <c r="N39" s="20"/>
    </row>
    <row r="40" spans="1:14" x14ac:dyDescent="0.15">
      <c r="A40" s="129" t="s">
        <v>21</v>
      </c>
      <c r="B40" s="175">
        <v>50.060338909456803</v>
      </c>
      <c r="C40" s="171">
        <v>23.992041179090293</v>
      </c>
      <c r="D40" s="165">
        <f t="shared" si="13"/>
        <v>2465184158.1886368</v>
      </c>
      <c r="E40" s="165">
        <f t="shared" si="14"/>
        <v>124294521.21570458</v>
      </c>
      <c r="F40" s="165">
        <f t="shared" ref="F40:F47" si="16">SUM(D40:E40)</f>
        <v>2589478679.4043412</v>
      </c>
      <c r="G40" s="176">
        <f t="shared" ref="G40:G47" si="17">F40*(2.29569*10^-5)</f>
        <v>59446.403095217524</v>
      </c>
      <c r="H40" s="55">
        <f t="shared" ref="H40:H48" si="18">(G40*325851)/10^6</f>
        <v>19370.669894979725</v>
      </c>
      <c r="I40" s="55">
        <f t="shared" si="15"/>
        <v>0.17677522884142097</v>
      </c>
      <c r="J40" s="176">
        <f t="shared" ref="J40:K47" si="19">D40*(2.29569*10^-5)</f>
        <v>56592.986201120715</v>
      </c>
      <c r="K40" s="176">
        <f t="shared" si="19"/>
        <v>2853.4168940968084</v>
      </c>
      <c r="M40" s="20"/>
      <c r="N40" s="20"/>
    </row>
    <row r="41" spans="1:14" x14ac:dyDescent="0.15">
      <c r="A41" s="129" t="s">
        <v>22</v>
      </c>
      <c r="B41" s="175">
        <v>35.290231697862886</v>
      </c>
      <c r="C41" s="171">
        <v>36.936712348320654</v>
      </c>
      <c r="D41" s="165">
        <f t="shared" si="13"/>
        <v>418718603.47036433</v>
      </c>
      <c r="E41" s="165">
        <f t="shared" si="14"/>
        <v>27294404.487883653</v>
      </c>
      <c r="F41" s="165">
        <f t="shared" si="16"/>
        <v>446013007.95824796</v>
      </c>
      <c r="G41" s="176">
        <f t="shared" si="17"/>
        <v>10239.076022396703</v>
      </c>
      <c r="H41" s="55">
        <f t="shared" si="18"/>
        <v>3336.4131609739879</v>
      </c>
      <c r="I41" s="55">
        <f t="shared" si="15"/>
        <v>0.11269669679113938</v>
      </c>
      <c r="J41" s="176">
        <f t="shared" si="19"/>
        <v>9612.4811080088075</v>
      </c>
      <c r="K41" s="176">
        <f t="shared" si="19"/>
        <v>626.59491438789621</v>
      </c>
      <c r="M41" s="20"/>
      <c r="N41" s="20"/>
    </row>
    <row r="42" spans="1:14" x14ac:dyDescent="0.15">
      <c r="A42" s="129" t="s">
        <v>23</v>
      </c>
      <c r="B42" s="175">
        <v>48.66744885886088</v>
      </c>
      <c r="C42" s="171">
        <v>29.853682559639733</v>
      </c>
      <c r="D42" s="165">
        <f t="shared" si="13"/>
        <v>339122830.7367053</v>
      </c>
      <c r="E42" s="165">
        <f t="shared" si="14"/>
        <v>35645165.27565787</v>
      </c>
      <c r="F42" s="165">
        <f t="shared" si="16"/>
        <v>374767996.0123632</v>
      </c>
      <c r="G42" s="176">
        <f t="shared" si="17"/>
        <v>8603.5114076562204</v>
      </c>
      <c r="H42" s="55">
        <f t="shared" si="18"/>
        <v>2803.4627956961872</v>
      </c>
      <c r="I42" s="55">
        <f t="shared" si="15"/>
        <v>0.16788836434946672</v>
      </c>
      <c r="J42" s="176">
        <f t="shared" si="19"/>
        <v>7785.2089129394699</v>
      </c>
      <c r="K42" s="176">
        <f t="shared" si="19"/>
        <v>818.30249471675018</v>
      </c>
      <c r="M42" s="20"/>
      <c r="N42" s="20"/>
    </row>
    <row r="43" spans="1:14" x14ac:dyDescent="0.15">
      <c r="A43" s="129" t="s">
        <v>24</v>
      </c>
      <c r="B43" s="175">
        <v>31.254076952494</v>
      </c>
      <c r="C43" s="171">
        <v>22.98863508155328</v>
      </c>
      <c r="D43" s="165">
        <f t="shared" si="13"/>
        <v>138391461.63290679</v>
      </c>
      <c r="E43" s="165">
        <f t="shared" si="14"/>
        <v>288308.7493228754</v>
      </c>
      <c r="F43" s="165">
        <f t="shared" si="16"/>
        <v>138679770.38222966</v>
      </c>
      <c r="G43" s="176">
        <f t="shared" si="17"/>
        <v>3183.657620687808</v>
      </c>
      <c r="H43" s="55">
        <f t="shared" si="18"/>
        <v>1037.3980193587429</v>
      </c>
      <c r="I43" s="55">
        <f t="shared" si="15"/>
        <v>2.7649483101706486E-2</v>
      </c>
      <c r="J43" s="176">
        <f t="shared" si="19"/>
        <v>3177.0389455604782</v>
      </c>
      <c r="K43" s="176">
        <f t="shared" si="19"/>
        <v>6.6186751273303184</v>
      </c>
      <c r="M43" s="20"/>
      <c r="N43" s="20"/>
    </row>
    <row r="44" spans="1:14" x14ac:dyDescent="0.15">
      <c r="A44" s="129" t="s">
        <v>25</v>
      </c>
      <c r="B44" s="175">
        <v>38.177704332056621</v>
      </c>
      <c r="C44" s="171">
        <v>29.10774090629803</v>
      </c>
      <c r="D44" s="165">
        <f t="shared" si="13"/>
        <v>1152309254.0738182</v>
      </c>
      <c r="E44" s="165">
        <f t="shared" si="14"/>
        <v>88833132.287197992</v>
      </c>
      <c r="F44" s="165">
        <f t="shared" si="16"/>
        <v>1241142386.3610163</v>
      </c>
      <c r="G44" s="176">
        <f t="shared" si="17"/>
        <v>28492.781649451215</v>
      </c>
      <c r="H44" s="55">
        <f t="shared" si="18"/>
        <v>9284.401393255328</v>
      </c>
      <c r="I44" s="55">
        <f t="shared" si="15"/>
        <v>0.13848470330776289</v>
      </c>
      <c r="J44" s="176">
        <f t="shared" si="19"/>
        <v>26453.448314847239</v>
      </c>
      <c r="K44" s="176">
        <f t="shared" si="19"/>
        <v>2039.3333346039756</v>
      </c>
      <c r="M44" s="20"/>
      <c r="N44" s="20"/>
    </row>
    <row r="45" spans="1:14" x14ac:dyDescent="0.15">
      <c r="A45" s="129" t="s">
        <v>26</v>
      </c>
      <c r="B45" s="175">
        <v>51.652194181579837</v>
      </c>
      <c r="C45" s="171">
        <v>26.619584913621015</v>
      </c>
      <c r="D45" s="165">
        <f t="shared" si="13"/>
        <v>3677961875.4929523</v>
      </c>
      <c r="E45" s="165">
        <f t="shared" si="14"/>
        <v>279645359.78930545</v>
      </c>
      <c r="F45" s="165">
        <f t="shared" si="16"/>
        <v>3957607235.282258</v>
      </c>
      <c r="G45" s="176">
        <f t="shared" si="17"/>
        <v>90854.393539651268</v>
      </c>
      <c r="H45" s="55">
        <f t="shared" si="18"/>
        <v>29604.994989288905</v>
      </c>
      <c r="I45" s="55">
        <f t="shared" si="15"/>
        <v>0.18293133040584977</v>
      </c>
      <c r="J45" s="176">
        <f t="shared" si="19"/>
        <v>84434.602979504154</v>
      </c>
      <c r="K45" s="176">
        <f t="shared" si="19"/>
        <v>6419.7905601471066</v>
      </c>
      <c r="M45" s="20"/>
      <c r="N45" s="20"/>
    </row>
    <row r="46" spans="1:14" x14ac:dyDescent="0.15">
      <c r="A46" s="129" t="s">
        <v>27</v>
      </c>
      <c r="B46" s="175">
        <v>49.363148335281217</v>
      </c>
      <c r="C46" s="171">
        <v>20.991865627247734</v>
      </c>
      <c r="D46" s="165">
        <f t="shared" si="13"/>
        <v>1134097430.1109567</v>
      </c>
      <c r="E46" s="165">
        <f t="shared" si="14"/>
        <v>11971035.529598119</v>
      </c>
      <c r="F46" s="165">
        <f t="shared" si="16"/>
        <v>1146068465.6405549</v>
      </c>
      <c r="G46" s="176">
        <f t="shared" si="17"/>
        <v>26310.179158863655</v>
      </c>
      <c r="H46" s="55">
        <f t="shared" si="18"/>
        <v>8573.1981890948809</v>
      </c>
      <c r="I46" s="55">
        <f t="shared" si="15"/>
        <v>0.21845185609071924</v>
      </c>
      <c r="J46" s="176">
        <f t="shared" si="19"/>
        <v>26035.361293314221</v>
      </c>
      <c r="K46" s="176">
        <f t="shared" si="19"/>
        <v>274.81786554943108</v>
      </c>
      <c r="M46" s="20"/>
      <c r="N46" s="20"/>
    </row>
    <row r="47" spans="1:14" x14ac:dyDescent="0.15">
      <c r="A47" s="129" t="s">
        <v>28</v>
      </c>
      <c r="B47" s="175">
        <v>44.373059642206385</v>
      </c>
      <c r="C47" s="171">
        <v>38.08727319903997</v>
      </c>
      <c r="D47" s="165">
        <f t="shared" si="13"/>
        <v>1074205623.0428019</v>
      </c>
      <c r="E47" s="165">
        <f t="shared" si="14"/>
        <v>73271252.068017453</v>
      </c>
      <c r="F47" s="165">
        <f t="shared" si="16"/>
        <v>1147476875.1108193</v>
      </c>
      <c r="G47" s="176">
        <f t="shared" si="17"/>
        <v>26342.511874231568</v>
      </c>
      <c r="H47" s="55">
        <f t="shared" si="18"/>
        <v>8583.7338367302309</v>
      </c>
      <c r="I47" s="55">
        <f t="shared" si="15"/>
        <v>0.13327068006987136</v>
      </c>
      <c r="J47" s="176">
        <f t="shared" si="19"/>
        <v>24660.4310676313</v>
      </c>
      <c r="K47" s="176">
        <f t="shared" si="19"/>
        <v>1682.0808066002699</v>
      </c>
      <c r="M47" s="20"/>
      <c r="N47" s="20"/>
    </row>
    <row r="48" spans="1:14" s="2" customFormat="1" x14ac:dyDescent="0.15">
      <c r="A48" s="131" t="s">
        <v>92</v>
      </c>
      <c r="B48" s="131"/>
      <c r="C48" s="131"/>
      <c r="D48" s="177">
        <f>SUM(D39:D47)</f>
        <v>12491517355.040192</v>
      </c>
      <c r="E48" s="177">
        <f>SUM(E39:E47)</f>
        <v>728752858.31908166</v>
      </c>
      <c r="F48" s="177">
        <f>SUM(F39:F47)</f>
        <v>13220270213.359272</v>
      </c>
      <c r="G48" s="177">
        <f>(F48/365)*0.0084</f>
        <v>304247.31449922704</v>
      </c>
      <c r="H48" s="178">
        <f t="shared" si="18"/>
        <v>99139.291676887631</v>
      </c>
      <c r="I48" s="137"/>
      <c r="J48" s="8"/>
      <c r="K48" s="8"/>
    </row>
    <row r="51" spans="1:11" x14ac:dyDescent="0.15">
      <c r="A51" s="5" t="s">
        <v>198</v>
      </c>
    </row>
    <row r="52" spans="1:11" ht="60" x14ac:dyDescent="0.15">
      <c r="A52" s="172" t="s">
        <v>19</v>
      </c>
      <c r="B52" s="173" t="s">
        <v>33</v>
      </c>
      <c r="C52" s="138" t="s">
        <v>40</v>
      </c>
      <c r="D52" s="174" t="s">
        <v>112</v>
      </c>
      <c r="E52" s="174" t="s">
        <v>113</v>
      </c>
      <c r="F52" s="174" t="s">
        <v>116</v>
      </c>
      <c r="G52" s="130" t="s">
        <v>114</v>
      </c>
      <c r="H52" s="130" t="s">
        <v>115</v>
      </c>
      <c r="I52" s="130" t="s">
        <v>62</v>
      </c>
      <c r="J52" s="174" t="s">
        <v>132</v>
      </c>
      <c r="K52" s="174" t="s">
        <v>133</v>
      </c>
    </row>
    <row r="53" spans="1:11" x14ac:dyDescent="0.15">
      <c r="A53" s="129" t="s">
        <v>17</v>
      </c>
      <c r="B53" s="175">
        <v>48.075424754192412</v>
      </c>
      <c r="C53" s="171">
        <v>21.986594176128566</v>
      </c>
      <c r="D53" s="165">
        <f t="shared" ref="D53:D61" si="20">(I3*(($B53/12)-(0.25*($C53/12)))*$D$19)/$D$20</f>
        <v>1704206466.7556698</v>
      </c>
      <c r="E53" s="165">
        <f t="shared" ref="E53:E61" si="21">(J3*(($B53/12)-(0.25*($C53/12)))*$D$19)/$D$20</f>
        <v>87509678.916393638</v>
      </c>
      <c r="F53" s="165">
        <f>SUM(D53:E53)</f>
        <v>1791716145.6720634</v>
      </c>
      <c r="G53" s="176">
        <f>F53*(2.29569*10^-5)</f>
        <v>41132.24838457899</v>
      </c>
      <c r="H53" s="136">
        <f>(G53*325851)/10^6</f>
        <v>13402.984268363449</v>
      </c>
      <c r="I53" s="55">
        <f t="shared" ref="I53:I61" si="22">G53/(B3+C3)</f>
        <v>0.10576587085025137</v>
      </c>
      <c r="J53" s="176">
        <f>D53*(2.29569*10^-5)</f>
        <v>39123.297436663241</v>
      </c>
      <c r="K53" s="176">
        <f>E53*(2.29569*10^-5)</f>
        <v>2008.9509479157571</v>
      </c>
    </row>
    <row r="54" spans="1:11" x14ac:dyDescent="0.15">
      <c r="A54" s="129" t="s">
        <v>21</v>
      </c>
      <c r="B54" s="175">
        <v>50.060338909456803</v>
      </c>
      <c r="C54" s="171">
        <v>23.992041179090293</v>
      </c>
      <c r="D54" s="165">
        <f t="shared" si="20"/>
        <v>2008668573.3388894</v>
      </c>
      <c r="E54" s="165">
        <f t="shared" si="21"/>
        <v>124294521.21570458</v>
      </c>
      <c r="F54" s="165">
        <f t="shared" ref="F54:F61" si="23">SUM(D54:E54)</f>
        <v>2132963094.554594</v>
      </c>
      <c r="G54" s="176">
        <f t="shared" ref="G54:G61" si="24">F54*(2.29569*10^-5)</f>
        <v>48966.220465380364</v>
      </c>
      <c r="H54" s="136">
        <f t="shared" ref="H54:H62" si="25">(G54*325851)/10^6</f>
        <v>15955.691904864656</v>
      </c>
      <c r="I54" s="55">
        <f t="shared" si="22"/>
        <v>0.1456104049626421</v>
      </c>
      <c r="J54" s="176">
        <f t="shared" ref="J54:K61" si="26">D54*(2.29569*10^-5)</f>
        <v>46112.803571283548</v>
      </c>
      <c r="K54" s="176">
        <f t="shared" si="26"/>
        <v>2853.4168940968084</v>
      </c>
    </row>
    <row r="55" spans="1:11" x14ac:dyDescent="0.15">
      <c r="A55" s="129" t="s">
        <v>22</v>
      </c>
      <c r="B55" s="175">
        <v>35.290231697862886</v>
      </c>
      <c r="C55" s="171">
        <v>36.936712348320654</v>
      </c>
      <c r="D55" s="165">
        <f t="shared" si="20"/>
        <v>341178121.34622282</v>
      </c>
      <c r="E55" s="165">
        <f t="shared" si="21"/>
        <v>27294404.487883653</v>
      </c>
      <c r="F55" s="165">
        <f t="shared" si="23"/>
        <v>368472525.83410645</v>
      </c>
      <c r="G55" s="176">
        <f t="shared" si="24"/>
        <v>8458.9869283209991</v>
      </c>
      <c r="H55" s="136">
        <f t="shared" si="25"/>
        <v>2756.3693495803259</v>
      </c>
      <c r="I55" s="55">
        <f t="shared" si="22"/>
        <v>9.3104092882597841E-2</v>
      </c>
      <c r="J55" s="176">
        <f t="shared" si="26"/>
        <v>7832.392013933103</v>
      </c>
      <c r="K55" s="176">
        <f t="shared" si="26"/>
        <v>626.59491438789621</v>
      </c>
    </row>
    <row r="56" spans="1:11" x14ac:dyDescent="0.15">
      <c r="A56" s="129" t="s">
        <v>23</v>
      </c>
      <c r="B56" s="175">
        <v>48.66744885886088</v>
      </c>
      <c r="C56" s="171">
        <v>29.853682559639733</v>
      </c>
      <c r="D56" s="165">
        <f t="shared" si="20"/>
        <v>276322306.52620429</v>
      </c>
      <c r="E56" s="165">
        <f t="shared" si="21"/>
        <v>35645165.27565787</v>
      </c>
      <c r="F56" s="165">
        <f t="shared" si="23"/>
        <v>311967471.80186218</v>
      </c>
      <c r="G56" s="176">
        <f t="shared" si="24"/>
        <v>7161.8060534081696</v>
      </c>
      <c r="H56" s="136">
        <f t="shared" si="25"/>
        <v>2333.6816643091056</v>
      </c>
      <c r="I56" s="55">
        <f t="shared" si="22"/>
        <v>0.13975501944761901</v>
      </c>
      <c r="J56" s="176">
        <f t="shared" si="26"/>
        <v>6343.5035586914191</v>
      </c>
      <c r="K56" s="176">
        <f t="shared" si="26"/>
        <v>818.30249471675018</v>
      </c>
    </row>
    <row r="57" spans="1:11" x14ac:dyDescent="0.15">
      <c r="A57" s="129" t="s">
        <v>24</v>
      </c>
      <c r="B57" s="175">
        <v>31.254076952494</v>
      </c>
      <c r="C57" s="171">
        <v>22.98863508155328</v>
      </c>
      <c r="D57" s="165">
        <f t="shared" si="20"/>
        <v>112763413.1823685</v>
      </c>
      <c r="E57" s="165">
        <f t="shared" si="21"/>
        <v>288308.7493228754</v>
      </c>
      <c r="F57" s="165">
        <f t="shared" si="23"/>
        <v>113051721.93169138</v>
      </c>
      <c r="G57" s="176">
        <f t="shared" si="24"/>
        <v>2595.3170752136457</v>
      </c>
      <c r="H57" s="136">
        <f t="shared" si="25"/>
        <v>845.68666427544167</v>
      </c>
      <c r="I57" s="55">
        <f t="shared" si="22"/>
        <v>2.2539853264493592E-2</v>
      </c>
      <c r="J57" s="176">
        <f t="shared" si="26"/>
        <v>2588.6984000863154</v>
      </c>
      <c r="K57" s="176">
        <f t="shared" si="26"/>
        <v>6.6186751273303184</v>
      </c>
    </row>
    <row r="58" spans="1:11" x14ac:dyDescent="0.15">
      <c r="A58" s="129" t="s">
        <v>25</v>
      </c>
      <c r="B58" s="175">
        <v>38.177704332056621</v>
      </c>
      <c r="C58" s="171">
        <v>29.10774090629803</v>
      </c>
      <c r="D58" s="165">
        <f t="shared" si="20"/>
        <v>938918651.46755564</v>
      </c>
      <c r="E58" s="165">
        <f t="shared" si="21"/>
        <v>88833132.287197992</v>
      </c>
      <c r="F58" s="165">
        <f t="shared" si="23"/>
        <v>1027751783.7547536</v>
      </c>
      <c r="G58" s="176">
        <f t="shared" si="24"/>
        <v>23593.994924479503</v>
      </c>
      <c r="H58" s="136">
        <f t="shared" si="25"/>
        <v>7688.1268401365696</v>
      </c>
      <c r="I58" s="55">
        <f t="shared" si="22"/>
        <v>0.11467491756896749</v>
      </c>
      <c r="J58" s="176">
        <f t="shared" si="26"/>
        <v>21554.66158987553</v>
      </c>
      <c r="K58" s="176">
        <f t="shared" si="26"/>
        <v>2039.3333346039756</v>
      </c>
    </row>
    <row r="59" spans="1:11" x14ac:dyDescent="0.15">
      <c r="A59" s="129" t="s">
        <v>26</v>
      </c>
      <c r="B59" s="175">
        <v>51.652194181579837</v>
      </c>
      <c r="C59" s="171">
        <v>26.619584913621015</v>
      </c>
      <c r="D59" s="165">
        <f t="shared" si="20"/>
        <v>2996857824.475739</v>
      </c>
      <c r="E59" s="165">
        <f t="shared" si="21"/>
        <v>279645359.78930545</v>
      </c>
      <c r="F59" s="165">
        <f t="shared" si="23"/>
        <v>3276503184.2650442</v>
      </c>
      <c r="G59" s="176">
        <f t="shared" si="24"/>
        <v>75218.355950854195</v>
      </c>
      <c r="H59" s="136">
        <f t="shared" si="25"/>
        <v>24509.976504941791</v>
      </c>
      <c r="I59" s="55">
        <f t="shared" si="22"/>
        <v>0.15144885556938295</v>
      </c>
      <c r="J59" s="176">
        <f t="shared" si="26"/>
        <v>68798.565390707096</v>
      </c>
      <c r="K59" s="176">
        <f t="shared" si="26"/>
        <v>6419.7905601471066</v>
      </c>
    </row>
    <row r="60" spans="1:11" x14ac:dyDescent="0.15">
      <c r="A60" s="129" t="s">
        <v>27</v>
      </c>
      <c r="B60" s="175">
        <v>49.363148335281217</v>
      </c>
      <c r="C60" s="171">
        <v>20.991865627247734</v>
      </c>
      <c r="D60" s="165">
        <f t="shared" si="20"/>
        <v>924079387.49781656</v>
      </c>
      <c r="E60" s="165">
        <f t="shared" si="21"/>
        <v>11971035.529598119</v>
      </c>
      <c r="F60" s="165">
        <f t="shared" si="23"/>
        <v>936050423.02741468</v>
      </c>
      <c r="G60" s="176">
        <f t="shared" si="24"/>
        <v>21488.815956398055</v>
      </c>
      <c r="H60" s="136">
        <f t="shared" si="25"/>
        <v>7002.1521682082621</v>
      </c>
      <c r="I60" s="55">
        <f t="shared" si="22"/>
        <v>0.17842036356052568</v>
      </c>
      <c r="J60" s="176">
        <f t="shared" si="26"/>
        <v>21213.998090848625</v>
      </c>
      <c r="K60" s="176">
        <f t="shared" si="26"/>
        <v>274.81786554943108</v>
      </c>
    </row>
    <row r="61" spans="1:11" x14ac:dyDescent="0.15">
      <c r="A61" s="129" t="s">
        <v>28</v>
      </c>
      <c r="B61" s="175">
        <v>44.373059642206385</v>
      </c>
      <c r="C61" s="171">
        <v>38.08727319903997</v>
      </c>
      <c r="D61" s="165">
        <f t="shared" si="20"/>
        <v>875278655.81265342</v>
      </c>
      <c r="E61" s="165">
        <f t="shared" si="21"/>
        <v>73271252.068017453</v>
      </c>
      <c r="F61" s="165">
        <f t="shared" si="23"/>
        <v>948549907.88067091</v>
      </c>
      <c r="G61" s="176">
        <f t="shared" si="24"/>
        <v>21775.765380225774</v>
      </c>
      <c r="H61" s="136">
        <f t="shared" si="25"/>
        <v>7095.654924911948</v>
      </c>
      <c r="I61" s="55">
        <f t="shared" si="22"/>
        <v>0.11016683128473698</v>
      </c>
      <c r="J61" s="176">
        <f t="shared" si="26"/>
        <v>20093.684573625505</v>
      </c>
      <c r="K61" s="176">
        <f t="shared" si="26"/>
        <v>1682.0808066002699</v>
      </c>
    </row>
    <row r="62" spans="1:11" s="2" customFormat="1" x14ac:dyDescent="0.15">
      <c r="A62" s="131" t="s">
        <v>92</v>
      </c>
      <c r="B62" s="131"/>
      <c r="C62" s="131"/>
      <c r="D62" s="177">
        <f>SUM(D53:D61)</f>
        <v>10178273400.403118</v>
      </c>
      <c r="E62" s="177">
        <f>SUM(E53:E61)</f>
        <v>728752858.31908166</v>
      </c>
      <c r="F62" s="177">
        <f>SUM(F53:F61)</f>
        <v>10907026258.722198</v>
      </c>
      <c r="G62" s="177">
        <f>(F62/365)*0.0084</f>
        <v>251011.01526922319</v>
      </c>
      <c r="H62" s="137">
        <f t="shared" si="25"/>
        <v>81792.190336491651</v>
      </c>
      <c r="I62" s="137"/>
      <c r="J62" s="8"/>
      <c r="K62" s="8"/>
    </row>
    <row r="69" spans="1:1" x14ac:dyDescent="0.15">
      <c r="A69" s="2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P54"/>
  <sheetViews>
    <sheetView workbookViewId="0">
      <selection activeCell="K5" sqref="K5"/>
    </sheetView>
  </sheetViews>
  <sheetFormatPr baseColWidth="10" defaultColWidth="8.83203125" defaultRowHeight="14" x14ac:dyDescent="0.15"/>
  <cols>
    <col min="1" max="1" width="18.1640625" customWidth="1"/>
    <col min="2" max="2" width="12.1640625" customWidth="1"/>
    <col min="3" max="3" width="9.6640625" customWidth="1"/>
    <col min="4" max="4" width="12.6640625" customWidth="1"/>
    <col min="5" max="5" width="9.6640625" customWidth="1"/>
    <col min="6" max="6" width="10.6640625" customWidth="1"/>
    <col min="7" max="8" width="12.6640625" customWidth="1"/>
    <col min="9" max="9" width="11.6640625" customWidth="1"/>
    <col min="10" max="10" width="15.33203125" customWidth="1"/>
    <col min="11" max="11" width="13.6640625" customWidth="1"/>
    <col min="12" max="12" width="12.33203125" customWidth="1"/>
    <col min="13" max="13" width="12.83203125" customWidth="1"/>
    <col min="14" max="14" width="12.33203125" customWidth="1"/>
    <col min="15" max="15" width="4.1640625" customWidth="1"/>
    <col min="16" max="16" width="43.1640625" customWidth="1"/>
    <col min="17" max="17" width="32.5" customWidth="1"/>
  </cols>
  <sheetData>
    <row r="1" spans="1:16" x14ac:dyDescent="0.15">
      <c r="A1" s="2" t="s">
        <v>182</v>
      </c>
    </row>
    <row r="2" spans="1:16" x14ac:dyDescent="0.15">
      <c r="A2" s="10" t="s">
        <v>98</v>
      </c>
      <c r="B2" s="10" t="s">
        <v>118</v>
      </c>
      <c r="C2" s="10" t="s">
        <v>100</v>
      </c>
      <c r="D2" s="10" t="s">
        <v>100</v>
      </c>
      <c r="E2" s="10" t="s">
        <v>101</v>
      </c>
      <c r="F2" s="10" t="s">
        <v>101</v>
      </c>
      <c r="G2" s="122"/>
      <c r="H2" s="166" t="s">
        <v>183</v>
      </c>
      <c r="I2" s="122"/>
      <c r="J2" s="122"/>
      <c r="K2" s="122"/>
      <c r="L2" s="122"/>
      <c r="M2" s="122"/>
    </row>
    <row r="3" spans="1:16" x14ac:dyDescent="0.15">
      <c r="A3" s="10" t="s">
        <v>47</v>
      </c>
      <c r="B3" s="10">
        <v>2020</v>
      </c>
      <c r="C3" s="10">
        <v>2070</v>
      </c>
      <c r="D3" s="10">
        <v>2070</v>
      </c>
      <c r="E3" s="10">
        <v>2070</v>
      </c>
      <c r="F3" s="10">
        <v>2070</v>
      </c>
      <c r="G3" s="122"/>
      <c r="H3" s="166"/>
      <c r="I3" s="166"/>
      <c r="J3" s="166"/>
      <c r="K3" s="169"/>
      <c r="L3" s="130"/>
      <c r="M3" s="54"/>
    </row>
    <row r="4" spans="1:16" ht="90" x14ac:dyDescent="0.15">
      <c r="A4" s="130" t="s">
        <v>185</v>
      </c>
      <c r="B4" s="130" t="s">
        <v>180</v>
      </c>
      <c r="C4" s="130" t="s">
        <v>180</v>
      </c>
      <c r="D4" s="130" t="s">
        <v>181</v>
      </c>
      <c r="E4" s="130" t="s">
        <v>180</v>
      </c>
      <c r="F4" s="130" t="s">
        <v>181</v>
      </c>
      <c r="G4" s="122"/>
      <c r="H4" s="130" t="s">
        <v>19</v>
      </c>
      <c r="I4" s="130" t="s">
        <v>63</v>
      </c>
      <c r="J4" s="130" t="s">
        <v>64</v>
      </c>
      <c r="K4" s="130" t="s">
        <v>187</v>
      </c>
      <c r="L4" s="130" t="s">
        <v>186</v>
      </c>
      <c r="M4" s="16"/>
    </row>
    <row r="5" spans="1:16" x14ac:dyDescent="0.15">
      <c r="A5" s="8" t="s">
        <v>17</v>
      </c>
      <c r="B5" s="150">
        <v>231020.25547181506</v>
      </c>
      <c r="C5" s="9">
        <v>231020.25547181506</v>
      </c>
      <c r="D5" s="9">
        <v>273962.93063692795</v>
      </c>
      <c r="E5" s="9">
        <v>231020.25547181506</v>
      </c>
      <c r="F5" s="9">
        <v>295194.8672185106</v>
      </c>
      <c r="G5" s="160"/>
      <c r="H5" s="10" t="s">
        <v>17</v>
      </c>
      <c r="I5" s="25">
        <v>10950.000000000002</v>
      </c>
      <c r="J5" s="25">
        <v>7168.7516346990278</v>
      </c>
      <c r="K5" s="162">
        <f>$I5/C5</f>
        <v>4.7398441221687265E-2</v>
      </c>
      <c r="L5" s="162">
        <f>K5-(K5*0.3125)</f>
        <v>3.2586428339909997E-2</v>
      </c>
    </row>
    <row r="6" spans="1:16" x14ac:dyDescent="0.15">
      <c r="A6" s="8" t="s">
        <v>21</v>
      </c>
      <c r="B6" s="150">
        <v>103394.81549886988</v>
      </c>
      <c r="C6" s="9">
        <v>103394.81549886988</v>
      </c>
      <c r="D6" s="9">
        <v>79491.221925433056</v>
      </c>
      <c r="E6" s="9">
        <v>103394.81549886988</v>
      </c>
      <c r="F6" s="9">
        <v>210937.95506007638</v>
      </c>
      <c r="G6" s="160"/>
      <c r="H6" s="10" t="s">
        <v>21</v>
      </c>
      <c r="I6" s="25">
        <v>7116.6666666666661</v>
      </c>
      <c r="J6" s="25">
        <v>1158.3033569262734</v>
      </c>
      <c r="K6" s="162">
        <f t="shared" ref="K6:K13" si="0">$I6/C6</f>
        <v>6.8830014661077979E-2</v>
      </c>
      <c r="L6" s="162">
        <f t="shared" ref="L6:L13" si="1">K6-(K6*0.3125)</f>
        <v>4.7320635079491108E-2</v>
      </c>
    </row>
    <row r="7" spans="1:16" x14ac:dyDescent="0.15">
      <c r="A7" s="8" t="s">
        <v>22</v>
      </c>
      <c r="B7" s="150">
        <v>37266.890443220655</v>
      </c>
      <c r="C7" s="9">
        <v>37266.890443220655</v>
      </c>
      <c r="D7" s="9">
        <v>32646.934572439022</v>
      </c>
      <c r="E7" s="9">
        <v>37266.890443220655</v>
      </c>
      <c r="F7" s="9">
        <v>56364.399952105945</v>
      </c>
      <c r="G7" s="160"/>
      <c r="H7" s="10" t="s">
        <v>22</v>
      </c>
      <c r="I7" s="25">
        <v>583.33333333333337</v>
      </c>
      <c r="J7" s="25">
        <v>222.86019533929047</v>
      </c>
      <c r="K7" s="162">
        <f t="shared" si="0"/>
        <v>1.5652857708160342E-2</v>
      </c>
      <c r="L7" s="162">
        <f t="shared" si="1"/>
        <v>1.0761339674360236E-2</v>
      </c>
    </row>
    <row r="8" spans="1:16" x14ac:dyDescent="0.15">
      <c r="A8" s="8" t="s">
        <v>23</v>
      </c>
      <c r="B8" s="150">
        <v>11197.833809446809</v>
      </c>
      <c r="C8" s="9">
        <v>11197.833809446809</v>
      </c>
      <c r="D8" s="9">
        <v>8052.1303565237149</v>
      </c>
      <c r="E8" s="9">
        <v>11197.833809446809</v>
      </c>
      <c r="F8" s="9">
        <v>20175.522602877085</v>
      </c>
      <c r="G8" s="160"/>
      <c r="H8" s="10" t="s">
        <v>23</v>
      </c>
      <c r="I8" s="25">
        <v>1433.3333333333333</v>
      </c>
      <c r="J8" s="25">
        <v>320.41639575194455</v>
      </c>
      <c r="K8" s="162">
        <f t="shared" si="0"/>
        <v>0.12800094712283841</v>
      </c>
      <c r="L8" s="162">
        <f t="shared" si="1"/>
        <v>8.8000651146951409E-2</v>
      </c>
    </row>
    <row r="9" spans="1:16" x14ac:dyDescent="0.15">
      <c r="A9" s="8" t="s">
        <v>24</v>
      </c>
      <c r="B9" s="150">
        <v>268282.16625400039</v>
      </c>
      <c r="C9" s="9">
        <v>268282.16625400039</v>
      </c>
      <c r="D9" s="9">
        <v>103389.12050752844</v>
      </c>
      <c r="E9" s="9">
        <v>268282.16625400039</v>
      </c>
      <c r="F9" s="9">
        <v>74732.360120329322</v>
      </c>
      <c r="G9" s="160"/>
      <c r="H9" s="10" t="s">
        <v>24</v>
      </c>
      <c r="I9" s="25">
        <v>1883.3333333333335</v>
      </c>
      <c r="J9" s="25">
        <v>449.07311951024843</v>
      </c>
      <c r="K9" s="162">
        <f t="shared" si="0"/>
        <v>7.0199721421298567E-3</v>
      </c>
      <c r="L9" s="162">
        <f t="shared" si="1"/>
        <v>4.8262308477142763E-3</v>
      </c>
    </row>
    <row r="10" spans="1:16" x14ac:dyDescent="0.15">
      <c r="A10" s="8" t="s">
        <v>25</v>
      </c>
      <c r="B10" s="150">
        <v>109176.82508067049</v>
      </c>
      <c r="C10" s="9">
        <v>109176.82508067049</v>
      </c>
      <c r="D10" s="9">
        <v>86358.510585085838</v>
      </c>
      <c r="E10" s="9">
        <v>109176.82508067049</v>
      </c>
      <c r="F10" s="9">
        <v>239460.89257837381</v>
      </c>
      <c r="G10" s="160"/>
      <c r="H10" s="10" t="s">
        <v>25</v>
      </c>
      <c r="I10" s="25">
        <v>3000</v>
      </c>
      <c r="J10" s="25">
        <v>1818.7908071023446</v>
      </c>
      <c r="K10" s="162">
        <f t="shared" si="0"/>
        <v>2.7478359054527435E-2</v>
      </c>
      <c r="L10" s="162">
        <f t="shared" si="1"/>
        <v>1.8891371849987612E-2</v>
      </c>
    </row>
    <row r="11" spans="1:16" x14ac:dyDescent="0.15">
      <c r="A11" s="8" t="s">
        <v>26</v>
      </c>
      <c r="B11" s="150">
        <v>259323.70141696421</v>
      </c>
      <c r="C11" s="9">
        <v>259323.70141696421</v>
      </c>
      <c r="D11" s="9">
        <v>213141.59455020996</v>
      </c>
      <c r="E11" s="9">
        <v>259323.70141696421</v>
      </c>
      <c r="F11" s="9">
        <v>834746.7791891034</v>
      </c>
      <c r="G11" s="160"/>
      <c r="H11" s="10" t="s">
        <v>26</v>
      </c>
      <c r="I11" s="25">
        <v>11283.333333333334</v>
      </c>
      <c r="J11" s="25">
        <v>8253.8273950129751</v>
      </c>
      <c r="K11" s="162">
        <f t="shared" si="0"/>
        <v>4.3510613459858669E-2</v>
      </c>
      <c r="L11" s="162">
        <f t="shared" si="1"/>
        <v>2.9913546753652834E-2</v>
      </c>
    </row>
    <row r="12" spans="1:16" x14ac:dyDescent="0.15">
      <c r="A12" s="8" t="s">
        <v>27</v>
      </c>
      <c r="B12" s="150">
        <v>34896.026432713305</v>
      </c>
      <c r="C12" s="9">
        <v>34896.026432713305</v>
      </c>
      <c r="D12" s="9">
        <v>17754.346603963786</v>
      </c>
      <c r="E12" s="9">
        <v>34896.026432713305</v>
      </c>
      <c r="F12" s="9">
        <v>64178.792763147198</v>
      </c>
      <c r="G12" s="160"/>
      <c r="H12" s="10" t="s">
        <v>27</v>
      </c>
      <c r="I12" s="25">
        <v>3150</v>
      </c>
      <c r="J12" s="25">
        <v>1943.9650202614259</v>
      </c>
      <c r="K12" s="162">
        <f t="shared" si="0"/>
        <v>9.0268157209069236E-2</v>
      </c>
      <c r="L12" s="162">
        <f t="shared" si="1"/>
        <v>6.2059358081235097E-2</v>
      </c>
    </row>
    <row r="13" spans="1:16" x14ac:dyDescent="0.15">
      <c r="A13" s="8" t="s">
        <v>28</v>
      </c>
      <c r="B13" s="150">
        <v>48779.766580302166</v>
      </c>
      <c r="C13" s="9">
        <v>48779.766580302166</v>
      </c>
      <c r="D13" s="9">
        <v>82513.649059590607</v>
      </c>
      <c r="E13" s="9">
        <v>48779.766580302166</v>
      </c>
      <c r="F13" s="9">
        <v>275757.37293135416</v>
      </c>
      <c r="G13" s="160"/>
      <c r="H13" s="10" t="s">
        <v>28</v>
      </c>
      <c r="I13" s="25">
        <v>2133.3333333333339</v>
      </c>
      <c r="J13" s="25">
        <v>539.13510984415086</v>
      </c>
      <c r="K13" s="162">
        <f t="shared" si="0"/>
        <v>4.373397994476666E-2</v>
      </c>
      <c r="L13" s="162">
        <f t="shared" si="1"/>
        <v>3.0067111212027077E-2</v>
      </c>
    </row>
    <row r="14" spans="1:16" x14ac:dyDescent="0.15">
      <c r="A14" s="8" t="s">
        <v>3</v>
      </c>
      <c r="B14" s="164">
        <f t="shared" ref="B14:F14" si="2">SUM(B5:B13)</f>
        <v>1103338.2809880031</v>
      </c>
      <c r="C14" s="164">
        <f t="shared" si="2"/>
        <v>1103338.2809880031</v>
      </c>
      <c r="D14" s="164">
        <f t="shared" si="2"/>
        <v>897310.43879770231</v>
      </c>
      <c r="E14" s="164">
        <f t="shared" si="2"/>
        <v>1103338.2809880031</v>
      </c>
      <c r="F14" s="164">
        <f t="shared" si="2"/>
        <v>2071548.9424158779</v>
      </c>
      <c r="G14" s="161"/>
      <c r="H14" s="8" t="s">
        <v>3</v>
      </c>
      <c r="I14" s="164">
        <f>SUM(I5:I13)</f>
        <v>41533.333333333336</v>
      </c>
      <c r="J14" s="10"/>
      <c r="K14" s="10"/>
      <c r="L14" s="10"/>
    </row>
    <row r="16" spans="1:16" ht="30" x14ac:dyDescent="0.15">
      <c r="P16" s="191" t="s">
        <v>184</v>
      </c>
    </row>
    <row r="17" spans="1:16" s="16" customFormat="1" ht="30" x14ac:dyDescent="0.15">
      <c r="A17" s="130" t="s">
        <v>124</v>
      </c>
      <c r="B17" s="130" t="s">
        <v>9</v>
      </c>
      <c r="C17" s="130" t="s">
        <v>107</v>
      </c>
      <c r="D17" s="130" t="s">
        <v>107</v>
      </c>
      <c r="E17" s="130" t="s">
        <v>121</v>
      </c>
      <c r="F17" s="130" t="s">
        <v>121</v>
      </c>
      <c r="G17" s="130" t="s">
        <v>122</v>
      </c>
      <c r="H17" s="130" t="s">
        <v>122</v>
      </c>
      <c r="I17" s="130" t="s">
        <v>107</v>
      </c>
      <c r="J17" s="130" t="s">
        <v>107</v>
      </c>
      <c r="K17" s="130" t="s">
        <v>121</v>
      </c>
      <c r="L17" s="130" t="s">
        <v>121</v>
      </c>
      <c r="M17" s="130" t="s">
        <v>122</v>
      </c>
      <c r="N17" s="130" t="s">
        <v>122</v>
      </c>
      <c r="P17" s="192" t="s">
        <v>0</v>
      </c>
    </row>
    <row r="18" spans="1:16" s="16" customFormat="1" ht="30" x14ac:dyDescent="0.15">
      <c r="A18" s="130" t="s">
        <v>188</v>
      </c>
      <c r="B18" s="130" t="s">
        <v>99</v>
      </c>
      <c r="C18" s="130" t="s">
        <v>100</v>
      </c>
      <c r="D18" s="130" t="s">
        <v>100</v>
      </c>
      <c r="E18" s="130" t="s">
        <v>100</v>
      </c>
      <c r="F18" s="130" t="s">
        <v>100</v>
      </c>
      <c r="G18" s="130" t="s">
        <v>100</v>
      </c>
      <c r="H18" s="130" t="s">
        <v>100</v>
      </c>
      <c r="I18" s="130" t="s">
        <v>101</v>
      </c>
      <c r="J18" s="130" t="s">
        <v>101</v>
      </c>
      <c r="K18" s="130" t="s">
        <v>101</v>
      </c>
      <c r="L18" s="130" t="s">
        <v>101</v>
      </c>
      <c r="M18" s="130" t="s">
        <v>101</v>
      </c>
      <c r="N18" s="130" t="s">
        <v>101</v>
      </c>
      <c r="P18" s="192" t="s">
        <v>1</v>
      </c>
    </row>
    <row r="19" spans="1:16" ht="79" customHeight="1" x14ac:dyDescent="0.15">
      <c r="A19" s="130" t="s">
        <v>19</v>
      </c>
      <c r="B19" s="130" t="s">
        <v>63</v>
      </c>
      <c r="C19" s="130" t="s">
        <v>125</v>
      </c>
      <c r="D19" s="130" t="s">
        <v>126</v>
      </c>
      <c r="E19" s="130" t="s">
        <v>125</v>
      </c>
      <c r="F19" s="130" t="s">
        <v>126</v>
      </c>
      <c r="G19" s="130" t="s">
        <v>125</v>
      </c>
      <c r="H19" s="130" t="s">
        <v>126</v>
      </c>
      <c r="I19" s="130" t="s">
        <v>125</v>
      </c>
      <c r="J19" s="130" t="s">
        <v>126</v>
      </c>
      <c r="K19" s="130" t="s">
        <v>125</v>
      </c>
      <c r="L19" s="130" t="s">
        <v>126</v>
      </c>
      <c r="M19" s="130" t="s">
        <v>125</v>
      </c>
      <c r="N19" s="130" t="s">
        <v>126</v>
      </c>
      <c r="P19" s="192" t="s">
        <v>2</v>
      </c>
    </row>
    <row r="20" spans="1:16" x14ac:dyDescent="0.15">
      <c r="A20" s="8" t="s">
        <v>17</v>
      </c>
      <c r="B20" s="165">
        <v>10950.000000000002</v>
      </c>
      <c r="C20" s="165">
        <f t="shared" ref="C20:C28" si="3">$C5*$K5</f>
        <v>10950.000000000002</v>
      </c>
      <c r="D20" s="165">
        <f t="shared" ref="D20:D28" si="4">$D5*$L5</f>
        <v>8927.473406991985</v>
      </c>
      <c r="E20" s="165">
        <f t="shared" ref="E20:E28" si="5">((0.5*$C5)*$K5)+((0.5*C5)*$L5)</f>
        <v>9239.0625000000018</v>
      </c>
      <c r="F20" s="165">
        <f t="shared" ref="F20:F28" si="6">$D5*$L5</f>
        <v>8927.473406991985</v>
      </c>
      <c r="G20" s="165">
        <f t="shared" ref="G20:G28" si="7">$C5*L5</f>
        <v>7528.1250000000018</v>
      </c>
      <c r="H20" s="165">
        <f t="shared" ref="H20:H28" si="8">$D5*L5</f>
        <v>8927.473406991985</v>
      </c>
      <c r="I20" s="165">
        <f>$E5*$K5</f>
        <v>10950.000000000002</v>
      </c>
      <c r="J20" s="165">
        <f t="shared" ref="J20:J28" si="9">$F5*$L5</f>
        <v>9619.3463869252428</v>
      </c>
      <c r="K20" s="165">
        <f t="shared" ref="K20:K28" si="10">((0.5*$E5)*$K5)+((0.5*$E5)*$L5)</f>
        <v>9239.0625000000018</v>
      </c>
      <c r="L20" s="165">
        <f t="shared" ref="L20:L28" si="11">$F5*$L5</f>
        <v>9619.3463869252428</v>
      </c>
      <c r="M20" s="165">
        <f t="shared" ref="M20:M28" si="12">$E5*$L5</f>
        <v>7528.1250000000018</v>
      </c>
      <c r="N20" s="165">
        <f t="shared" ref="N20:N28" si="13">$F5*$L5</f>
        <v>9619.3463869252428</v>
      </c>
    </row>
    <row r="21" spans="1:16" x14ac:dyDescent="0.15">
      <c r="A21" s="8" t="s">
        <v>21</v>
      </c>
      <c r="B21" s="165">
        <v>7116.6666666666661</v>
      </c>
      <c r="C21" s="165">
        <f t="shared" si="3"/>
        <v>7116.666666666667</v>
      </c>
      <c r="D21" s="165">
        <f t="shared" si="4"/>
        <v>3761.5751047562603</v>
      </c>
      <c r="E21" s="165">
        <f t="shared" si="5"/>
        <v>6004.6875</v>
      </c>
      <c r="F21" s="165">
        <f t="shared" si="6"/>
        <v>3761.5751047562603</v>
      </c>
      <c r="G21" s="165">
        <f t="shared" si="7"/>
        <v>4892.708333333333</v>
      </c>
      <c r="H21" s="165">
        <f t="shared" si="8"/>
        <v>3761.5751047562603</v>
      </c>
      <c r="I21" s="165">
        <f t="shared" ref="I21:I28" si="14">$C6*$K6</f>
        <v>7116.666666666667</v>
      </c>
      <c r="J21" s="165">
        <f t="shared" si="9"/>
        <v>9981.7179958119686</v>
      </c>
      <c r="K21" s="165">
        <f t="shared" si="10"/>
        <v>6004.6875</v>
      </c>
      <c r="L21" s="165">
        <f t="shared" si="11"/>
        <v>9981.7179958119686</v>
      </c>
      <c r="M21" s="165">
        <f t="shared" si="12"/>
        <v>4892.708333333333</v>
      </c>
      <c r="N21" s="165">
        <f t="shared" si="13"/>
        <v>9981.7179958119686</v>
      </c>
    </row>
    <row r="22" spans="1:16" x14ac:dyDescent="0.15">
      <c r="A22" s="8" t="s">
        <v>22</v>
      </c>
      <c r="B22" s="165">
        <v>583.33333333333337</v>
      </c>
      <c r="C22" s="165">
        <f t="shared" si="3"/>
        <v>583.33333333333337</v>
      </c>
      <c r="D22" s="165">
        <f t="shared" si="4"/>
        <v>351.32475226063087</v>
      </c>
      <c r="E22" s="165">
        <f t="shared" si="5"/>
        <v>492.18750000000006</v>
      </c>
      <c r="F22" s="165">
        <f t="shared" si="6"/>
        <v>351.32475226063087</v>
      </c>
      <c r="G22" s="165">
        <f t="shared" si="7"/>
        <v>401.04166666666674</v>
      </c>
      <c r="H22" s="165">
        <f t="shared" si="8"/>
        <v>351.32475226063087</v>
      </c>
      <c r="I22" s="165">
        <f t="shared" si="14"/>
        <v>583.33333333333337</v>
      </c>
      <c r="J22" s="165">
        <f t="shared" si="9"/>
        <v>606.55645342610592</v>
      </c>
      <c r="K22" s="165">
        <f t="shared" si="10"/>
        <v>492.18750000000006</v>
      </c>
      <c r="L22" s="165">
        <f t="shared" si="11"/>
        <v>606.55645342610592</v>
      </c>
      <c r="M22" s="165">
        <f t="shared" si="12"/>
        <v>401.04166666666674</v>
      </c>
      <c r="N22" s="165">
        <f t="shared" si="13"/>
        <v>606.55645342610592</v>
      </c>
    </row>
    <row r="23" spans="1:16" x14ac:dyDescent="0.15">
      <c r="A23" s="8" t="s">
        <v>23</v>
      </c>
      <c r="B23" s="165">
        <v>1433.3333333333333</v>
      </c>
      <c r="C23" s="165">
        <f t="shared" si="3"/>
        <v>1433.3333333333333</v>
      </c>
      <c r="D23" s="165">
        <f t="shared" si="4"/>
        <v>708.5927144942209</v>
      </c>
      <c r="E23" s="165">
        <f t="shared" si="5"/>
        <v>1209.375</v>
      </c>
      <c r="F23" s="165">
        <f t="shared" si="6"/>
        <v>708.5927144942209</v>
      </c>
      <c r="G23" s="165">
        <f t="shared" si="7"/>
        <v>985.41666666666663</v>
      </c>
      <c r="H23" s="165">
        <f t="shared" si="8"/>
        <v>708.5927144942209</v>
      </c>
      <c r="I23" s="165">
        <f t="shared" si="14"/>
        <v>1433.3333333333333</v>
      </c>
      <c r="J23" s="165">
        <f t="shared" si="9"/>
        <v>1775.4591262832193</v>
      </c>
      <c r="K23" s="165">
        <f t="shared" si="10"/>
        <v>1209.375</v>
      </c>
      <c r="L23" s="165">
        <f t="shared" si="11"/>
        <v>1775.4591262832193</v>
      </c>
      <c r="M23" s="165">
        <f t="shared" si="12"/>
        <v>985.41666666666663</v>
      </c>
      <c r="N23" s="165">
        <f t="shared" si="13"/>
        <v>1775.4591262832193</v>
      </c>
    </row>
    <row r="24" spans="1:16" x14ac:dyDescent="0.15">
      <c r="A24" s="8" t="s">
        <v>24</v>
      </c>
      <c r="B24" s="165">
        <v>1883.3333333333335</v>
      </c>
      <c r="C24" s="165">
        <f t="shared" si="3"/>
        <v>1883.3333333333335</v>
      </c>
      <c r="D24" s="165">
        <f t="shared" si="4"/>
        <v>498.97976271148246</v>
      </c>
      <c r="E24" s="165">
        <f t="shared" si="5"/>
        <v>1589.0625</v>
      </c>
      <c r="F24" s="165">
        <f t="shared" si="6"/>
        <v>498.97976271148246</v>
      </c>
      <c r="G24" s="165">
        <f t="shared" si="7"/>
        <v>1294.7916666666667</v>
      </c>
      <c r="H24" s="165">
        <f t="shared" si="8"/>
        <v>498.97976271148246</v>
      </c>
      <c r="I24" s="165">
        <f t="shared" si="14"/>
        <v>1883.3333333333335</v>
      </c>
      <c r="J24" s="165">
        <f t="shared" si="9"/>
        <v>360.67562173522555</v>
      </c>
      <c r="K24" s="165">
        <f t="shared" si="10"/>
        <v>1589.0625</v>
      </c>
      <c r="L24" s="165">
        <f t="shared" si="11"/>
        <v>360.67562173522555</v>
      </c>
      <c r="M24" s="165">
        <f t="shared" si="12"/>
        <v>1294.7916666666667</v>
      </c>
      <c r="N24" s="165">
        <f t="shared" si="13"/>
        <v>360.67562173522555</v>
      </c>
    </row>
    <row r="25" spans="1:16" x14ac:dyDescent="0.15">
      <c r="A25" s="8" t="s">
        <v>25</v>
      </c>
      <c r="B25" s="165">
        <v>3000</v>
      </c>
      <c r="C25" s="165">
        <f t="shared" si="3"/>
        <v>3000</v>
      </c>
      <c r="D25" s="165">
        <f t="shared" si="4"/>
        <v>1631.4307358739479</v>
      </c>
      <c r="E25" s="165">
        <f t="shared" si="5"/>
        <v>2531.25</v>
      </c>
      <c r="F25" s="165">
        <f t="shared" si="6"/>
        <v>1631.4307358739479</v>
      </c>
      <c r="G25" s="165">
        <f t="shared" si="7"/>
        <v>2062.5</v>
      </c>
      <c r="H25" s="165">
        <f t="shared" si="8"/>
        <v>1631.4307358739479</v>
      </c>
      <c r="I25" s="165">
        <f t="shared" si="14"/>
        <v>3000</v>
      </c>
      <c r="J25" s="165">
        <f t="shared" si="9"/>
        <v>4523.7447652279989</v>
      </c>
      <c r="K25" s="165">
        <f t="shared" si="10"/>
        <v>2531.25</v>
      </c>
      <c r="L25" s="165">
        <f t="shared" si="11"/>
        <v>4523.7447652279989</v>
      </c>
      <c r="M25" s="165">
        <f t="shared" si="12"/>
        <v>2062.5</v>
      </c>
      <c r="N25" s="165">
        <f t="shared" si="13"/>
        <v>4523.7447652279989</v>
      </c>
    </row>
    <row r="26" spans="1:16" x14ac:dyDescent="0.15">
      <c r="A26" s="8" t="s">
        <v>26</v>
      </c>
      <c r="B26" s="165">
        <v>11283.333333333334</v>
      </c>
      <c r="C26" s="165">
        <f t="shared" si="3"/>
        <v>11283.333333333334</v>
      </c>
      <c r="D26" s="165">
        <f t="shared" si="4"/>
        <v>6375.8210537258219</v>
      </c>
      <c r="E26" s="165">
        <f t="shared" si="5"/>
        <v>9520.3125</v>
      </c>
      <c r="F26" s="165">
        <f t="shared" si="6"/>
        <v>6375.8210537258219</v>
      </c>
      <c r="G26" s="165">
        <f t="shared" si="7"/>
        <v>7757.2916666666661</v>
      </c>
      <c r="H26" s="165">
        <f t="shared" si="8"/>
        <v>6375.8210537258219</v>
      </c>
      <c r="I26" s="165">
        <f t="shared" si="14"/>
        <v>11283.333333333334</v>
      </c>
      <c r="J26" s="165">
        <f t="shared" si="9"/>
        <v>24970.236806734363</v>
      </c>
      <c r="K26" s="165">
        <f t="shared" si="10"/>
        <v>9520.3125</v>
      </c>
      <c r="L26" s="165">
        <f t="shared" si="11"/>
        <v>24970.236806734363</v>
      </c>
      <c r="M26" s="165">
        <f t="shared" si="12"/>
        <v>7757.2916666666661</v>
      </c>
      <c r="N26" s="165">
        <f t="shared" si="13"/>
        <v>24970.236806734363</v>
      </c>
    </row>
    <row r="27" spans="1:16" x14ac:dyDescent="0.15">
      <c r="A27" s="8" t="s">
        <v>27</v>
      </c>
      <c r="B27" s="165">
        <v>3150</v>
      </c>
      <c r="C27" s="165">
        <f t="shared" si="3"/>
        <v>3150</v>
      </c>
      <c r="D27" s="165">
        <f t="shared" si="4"/>
        <v>1101.8233533937489</v>
      </c>
      <c r="E27" s="165">
        <f t="shared" si="5"/>
        <v>2657.8125</v>
      </c>
      <c r="F27" s="165">
        <f t="shared" si="6"/>
        <v>1101.8233533937489</v>
      </c>
      <c r="G27" s="165">
        <f t="shared" si="7"/>
        <v>2165.625</v>
      </c>
      <c r="H27" s="165">
        <f t="shared" si="8"/>
        <v>1101.8233533937489</v>
      </c>
      <c r="I27" s="165">
        <f t="shared" si="14"/>
        <v>3150</v>
      </c>
      <c r="J27" s="165">
        <f t="shared" si="9"/>
        <v>3982.8946813095317</v>
      </c>
      <c r="K27" s="165">
        <f t="shared" si="10"/>
        <v>2657.8125</v>
      </c>
      <c r="L27" s="165">
        <f t="shared" si="11"/>
        <v>3982.8946813095317</v>
      </c>
      <c r="M27" s="165">
        <f t="shared" si="12"/>
        <v>2165.625</v>
      </c>
      <c r="N27" s="165">
        <f t="shared" si="13"/>
        <v>3982.8946813095317</v>
      </c>
    </row>
    <row r="28" spans="1:16" x14ac:dyDescent="0.15">
      <c r="A28" s="8" t="s">
        <v>28</v>
      </c>
      <c r="B28" s="165">
        <v>2133.3333333333339</v>
      </c>
      <c r="C28" s="165">
        <f t="shared" si="3"/>
        <v>2133.3333333333339</v>
      </c>
      <c r="D28" s="165">
        <f t="shared" si="4"/>
        <v>2480.9470627848841</v>
      </c>
      <c r="E28" s="165">
        <f t="shared" si="5"/>
        <v>1800.0000000000005</v>
      </c>
      <c r="F28" s="165">
        <f t="shared" si="6"/>
        <v>2480.9470627848841</v>
      </c>
      <c r="G28" s="165">
        <f t="shared" si="7"/>
        <v>1466.666666666667</v>
      </c>
      <c r="H28" s="165">
        <f t="shared" si="8"/>
        <v>2480.9470627848841</v>
      </c>
      <c r="I28" s="165">
        <f t="shared" si="14"/>
        <v>2133.3333333333339</v>
      </c>
      <c r="J28" s="165">
        <f t="shared" si="9"/>
        <v>8291.227599463451</v>
      </c>
      <c r="K28" s="165">
        <f t="shared" si="10"/>
        <v>1800.0000000000005</v>
      </c>
      <c r="L28" s="165">
        <f t="shared" si="11"/>
        <v>8291.227599463451</v>
      </c>
      <c r="M28" s="165">
        <f t="shared" si="12"/>
        <v>1466.666666666667</v>
      </c>
      <c r="N28" s="165">
        <f t="shared" si="13"/>
        <v>8291.227599463451</v>
      </c>
    </row>
    <row r="29" spans="1:16" s="74" customFormat="1" x14ac:dyDescent="0.15">
      <c r="A29" s="144" t="s">
        <v>20</v>
      </c>
      <c r="B29" s="190">
        <f>SUM(B20:B28)</f>
        <v>41533.333333333336</v>
      </c>
      <c r="C29" s="190">
        <f t="shared" ref="C29:F29" si="15">SUM(C20:C28)</f>
        <v>41533.333333333336</v>
      </c>
      <c r="D29" s="190">
        <f t="shared" si="15"/>
        <v>25837.967946992983</v>
      </c>
      <c r="E29" s="190">
        <f t="shared" si="15"/>
        <v>35043.75</v>
      </c>
      <c r="F29" s="190">
        <f t="shared" si="15"/>
        <v>25837.967946992983</v>
      </c>
      <c r="G29" s="190">
        <f t="shared" ref="G29" si="16">SUM(G20:G28)</f>
        <v>28554.166666666668</v>
      </c>
      <c r="H29" s="190">
        <f t="shared" ref="H29" si="17">SUM(H20:H28)</f>
        <v>25837.967946992983</v>
      </c>
      <c r="I29" s="190">
        <f t="shared" ref="I29" si="18">SUM(I20:I28)</f>
        <v>41533.333333333336</v>
      </c>
      <c r="J29" s="190">
        <f t="shared" ref="J29" si="19">SUM(J20:J28)</f>
        <v>64111.859436917104</v>
      </c>
      <c r="K29" s="190">
        <f t="shared" ref="K29" si="20">SUM(K20:K28)</f>
        <v>35043.75</v>
      </c>
      <c r="L29" s="190">
        <f t="shared" ref="L29" si="21">SUM(L20:L28)</f>
        <v>64111.859436917104</v>
      </c>
      <c r="M29" s="190">
        <f t="shared" ref="M29" si="22">SUM(M20:M28)</f>
        <v>28554.166666666668</v>
      </c>
      <c r="N29" s="190">
        <f t="shared" ref="N29" si="23">SUM(N20:N28)</f>
        <v>64111.859436917104</v>
      </c>
    </row>
    <row r="30" spans="1:16" s="74" customFormat="1" x14ac:dyDescent="0.15">
      <c r="A30" s="144" t="s">
        <v>123</v>
      </c>
      <c r="B30" s="144"/>
      <c r="C30" s="185">
        <f>SUM(C29:D29)</f>
        <v>67371.301280326326</v>
      </c>
      <c r="D30" s="144"/>
      <c r="E30" s="185">
        <f>SUM(E29:F29)</f>
        <v>60881.717946992983</v>
      </c>
      <c r="F30" s="144"/>
      <c r="G30" s="185">
        <f>SUM(G29:H29)</f>
        <v>54392.134613659655</v>
      </c>
      <c r="H30" s="144"/>
      <c r="I30" s="185">
        <f>SUM(I29:J29)</f>
        <v>105645.19277025043</v>
      </c>
      <c r="J30" s="144"/>
      <c r="K30" s="185">
        <f>SUM(K29:L29)</f>
        <v>99155.609436917104</v>
      </c>
      <c r="L30" s="144"/>
      <c r="M30" s="185">
        <f>SUM(M29:N29)</f>
        <v>92666.026103583776</v>
      </c>
      <c r="N30" s="144"/>
    </row>
    <row r="33" spans="1:11" x14ac:dyDescent="0.15">
      <c r="A33" s="75" t="s">
        <v>193</v>
      </c>
      <c r="B33" s="2"/>
      <c r="C33" s="2"/>
    </row>
    <row r="34" spans="1:11" x14ac:dyDescent="0.15">
      <c r="A34" s="5" t="s">
        <v>46</v>
      </c>
      <c r="B34" s="2"/>
    </row>
    <row r="35" spans="1:11" ht="75" x14ac:dyDescent="0.15">
      <c r="A35" s="180" t="s">
        <v>5</v>
      </c>
      <c r="B35" s="76" t="s">
        <v>6</v>
      </c>
      <c r="C35" s="130" t="s">
        <v>195</v>
      </c>
      <c r="D35" s="130" t="s">
        <v>196</v>
      </c>
    </row>
    <row r="36" spans="1:11" ht="15" x14ac:dyDescent="0.15">
      <c r="A36" s="168" t="s">
        <v>7</v>
      </c>
      <c r="B36" s="181" t="s">
        <v>8</v>
      </c>
      <c r="C36" s="181" t="s">
        <v>9</v>
      </c>
      <c r="D36" s="181" t="s">
        <v>9</v>
      </c>
    </row>
    <row r="37" spans="1:11" ht="46" x14ac:dyDescent="0.2">
      <c r="A37" s="168" t="s">
        <v>10</v>
      </c>
      <c r="B37" s="181" t="s">
        <v>11</v>
      </c>
      <c r="C37" s="77" t="s">
        <v>179</v>
      </c>
      <c r="D37" s="77" t="s">
        <v>179</v>
      </c>
    </row>
    <row r="38" spans="1:11" ht="45" x14ac:dyDescent="0.15">
      <c r="A38" s="168" t="s">
        <v>12</v>
      </c>
      <c r="B38" s="181" t="s">
        <v>13</v>
      </c>
      <c r="C38" s="181">
        <v>0.64</v>
      </c>
      <c r="D38" s="171">
        <v>0.55000000000000004</v>
      </c>
    </row>
    <row r="39" spans="1:11" ht="45" x14ac:dyDescent="0.15">
      <c r="A39" s="168" t="s">
        <v>14</v>
      </c>
      <c r="B39" s="181" t="s">
        <v>15</v>
      </c>
      <c r="C39" s="181">
        <v>0.6</v>
      </c>
      <c r="D39" s="171">
        <v>0.75</v>
      </c>
    </row>
    <row r="41" spans="1:11" x14ac:dyDescent="0.15">
      <c r="A41" s="187" t="s">
        <v>200</v>
      </c>
    </row>
    <row r="42" spans="1:11" x14ac:dyDescent="0.15">
      <c r="A42" s="188" t="s">
        <v>201</v>
      </c>
    </row>
    <row r="43" spans="1:11" ht="31.25" customHeight="1" x14ac:dyDescent="0.15">
      <c r="A43" s="186"/>
      <c r="E43" s="204" t="s">
        <v>199</v>
      </c>
      <c r="F43" s="204"/>
      <c r="G43" s="204"/>
      <c r="H43" s="204" t="s">
        <v>204</v>
      </c>
      <c r="I43" s="204"/>
      <c r="J43" s="204"/>
    </row>
    <row r="44" spans="1:11" ht="90" x14ac:dyDescent="0.15">
      <c r="A44" s="172" t="s">
        <v>19</v>
      </c>
      <c r="B44" s="173" t="s">
        <v>33</v>
      </c>
      <c r="C44" s="138" t="s">
        <v>40</v>
      </c>
      <c r="D44" s="130" t="s">
        <v>202</v>
      </c>
      <c r="E44" s="130" t="s">
        <v>203</v>
      </c>
      <c r="F44" s="130" t="s">
        <v>205</v>
      </c>
      <c r="G44" s="130" t="s">
        <v>206</v>
      </c>
      <c r="H44" s="130" t="s">
        <v>203</v>
      </c>
      <c r="I44" s="130" t="s">
        <v>205</v>
      </c>
      <c r="J44" s="130" t="s">
        <v>207</v>
      </c>
      <c r="K44" s="167" t="s">
        <v>210</v>
      </c>
    </row>
    <row r="45" spans="1:11" x14ac:dyDescent="0.15">
      <c r="A45" s="129" t="s">
        <v>17</v>
      </c>
      <c r="B45" s="175">
        <v>48.075424754192412</v>
      </c>
      <c r="C45" s="171">
        <v>21.986594176128566</v>
      </c>
      <c r="D45" s="25">
        <v>1000000</v>
      </c>
      <c r="E45" s="10">
        <v>0.64</v>
      </c>
      <c r="F45" s="10">
        <v>0.6</v>
      </c>
      <c r="G45" s="25">
        <f>(D45*((B45/12)-(0.25*(C45/12)))*E45)/F45</f>
        <v>3784780.1075698016</v>
      </c>
      <c r="H45" s="10">
        <v>0.55000000000000004</v>
      </c>
      <c r="I45" s="10">
        <v>0.75</v>
      </c>
      <c r="J45" s="25">
        <f>(D45*((B45/12)-(0.25*(C45/12)))*H45)/I45</f>
        <v>2602036.3239542386</v>
      </c>
      <c r="K45" s="10">
        <f>(G45-J45)/G45</f>
        <v>0.3125</v>
      </c>
    </row>
    <row r="46" spans="1:11" x14ac:dyDescent="0.15">
      <c r="A46" s="129" t="s">
        <v>21</v>
      </c>
      <c r="B46" s="175">
        <v>50.060338909456803</v>
      </c>
      <c r="C46" s="171">
        <v>23.992041179090293</v>
      </c>
      <c r="D46" s="25">
        <v>1000000</v>
      </c>
      <c r="E46" s="10">
        <v>0.64</v>
      </c>
      <c r="F46" s="10">
        <v>0.6</v>
      </c>
      <c r="G46" s="25">
        <f t="shared" ref="G46:G54" si="24">(D46*((B46/12)-(0.25*(C46/12)))*E46)/F46</f>
        <v>3916651.4324163757</v>
      </c>
      <c r="H46" s="10">
        <v>0.55000000000000004</v>
      </c>
      <c r="I46" s="10">
        <v>0.75</v>
      </c>
      <c r="J46" s="25">
        <f t="shared" ref="J46:J53" si="25">(D46*((B46/12)-(0.25*(C46/12)))*H46)/I46</f>
        <v>2692697.8597862585</v>
      </c>
      <c r="K46" s="10">
        <f t="shared" ref="K46:K54" si="26">(G46-J46)/G46</f>
        <v>0.31249999999999994</v>
      </c>
    </row>
    <row r="47" spans="1:11" x14ac:dyDescent="0.15">
      <c r="A47" s="129" t="s">
        <v>22</v>
      </c>
      <c r="B47" s="175">
        <v>35.290231697862886</v>
      </c>
      <c r="C47" s="171">
        <v>36.936712348320654</v>
      </c>
      <c r="D47" s="25">
        <v>1000000</v>
      </c>
      <c r="E47" s="10">
        <v>0.64</v>
      </c>
      <c r="F47" s="10">
        <v>0.6</v>
      </c>
      <c r="G47" s="25">
        <f t="shared" si="24"/>
        <v>2316093.6542917979</v>
      </c>
      <c r="H47" s="10">
        <v>0.55000000000000004</v>
      </c>
      <c r="I47" s="10">
        <v>0.75</v>
      </c>
      <c r="J47" s="25">
        <f t="shared" si="25"/>
        <v>1592314.387325611</v>
      </c>
      <c r="K47" s="10">
        <f t="shared" si="26"/>
        <v>0.31250000000000006</v>
      </c>
    </row>
    <row r="48" spans="1:11" x14ac:dyDescent="0.15">
      <c r="A48" s="129" t="s">
        <v>23</v>
      </c>
      <c r="B48" s="175">
        <v>48.66744885886088</v>
      </c>
      <c r="C48" s="171">
        <v>29.853682559639733</v>
      </c>
      <c r="D48" s="25">
        <v>1000000</v>
      </c>
      <c r="E48" s="10">
        <v>0.64</v>
      </c>
      <c r="F48" s="10">
        <v>0.6</v>
      </c>
      <c r="G48" s="25">
        <f t="shared" si="24"/>
        <v>3662580.2861289736</v>
      </c>
      <c r="H48" s="10">
        <v>0.55000000000000004</v>
      </c>
      <c r="I48" s="10">
        <v>0.75</v>
      </c>
      <c r="J48" s="25">
        <f t="shared" si="25"/>
        <v>2518023.9467136697</v>
      </c>
      <c r="K48" s="10">
        <f t="shared" si="26"/>
        <v>0.31249999999999989</v>
      </c>
    </row>
    <row r="49" spans="1:11" x14ac:dyDescent="0.15">
      <c r="A49" s="129" t="s">
        <v>24</v>
      </c>
      <c r="B49" s="175">
        <v>31.254076952494</v>
      </c>
      <c r="C49" s="171">
        <v>22.98863508155328</v>
      </c>
      <c r="D49" s="25">
        <v>1000000</v>
      </c>
      <c r="E49" s="10">
        <v>0.64</v>
      </c>
      <c r="F49" s="10">
        <v>0.6</v>
      </c>
      <c r="G49" s="25">
        <f t="shared" si="24"/>
        <v>2267281.616187172</v>
      </c>
      <c r="H49" s="10">
        <v>0.55000000000000004</v>
      </c>
      <c r="I49" s="10">
        <v>0.75</v>
      </c>
      <c r="J49" s="25">
        <f t="shared" si="25"/>
        <v>1558756.1111286806</v>
      </c>
      <c r="K49" s="10">
        <f t="shared" si="26"/>
        <v>0.31250000000000006</v>
      </c>
    </row>
    <row r="50" spans="1:11" x14ac:dyDescent="0.15">
      <c r="A50" s="129" t="s">
        <v>25</v>
      </c>
      <c r="B50" s="175">
        <v>38.177704332056621</v>
      </c>
      <c r="C50" s="171">
        <v>29.10774090629803</v>
      </c>
      <c r="D50" s="25">
        <v>1000000</v>
      </c>
      <c r="E50" s="10">
        <v>0.64</v>
      </c>
      <c r="F50" s="10">
        <v>0.6</v>
      </c>
      <c r="G50" s="25">
        <f t="shared" si="24"/>
        <v>2746735.0315984101</v>
      </c>
      <c r="H50" s="10">
        <v>0.55000000000000004</v>
      </c>
      <c r="I50" s="10">
        <v>0.75</v>
      </c>
      <c r="J50" s="25">
        <f t="shared" si="25"/>
        <v>1888380.3342239072</v>
      </c>
      <c r="K50" s="10">
        <f t="shared" si="26"/>
        <v>0.31249999999999989</v>
      </c>
    </row>
    <row r="51" spans="1:11" x14ac:dyDescent="0.15">
      <c r="A51" s="129" t="s">
        <v>26</v>
      </c>
      <c r="B51" s="175">
        <v>51.652194181579837</v>
      </c>
      <c r="C51" s="171">
        <v>26.619584913621015</v>
      </c>
      <c r="D51" s="25">
        <v>1000000</v>
      </c>
      <c r="E51" s="10">
        <v>0.64</v>
      </c>
      <c r="F51" s="10">
        <v>0.6</v>
      </c>
      <c r="G51" s="25">
        <f t="shared" si="24"/>
        <v>3999759.8180599627</v>
      </c>
      <c r="H51" s="10">
        <v>0.55000000000000004</v>
      </c>
      <c r="I51" s="10">
        <v>0.75</v>
      </c>
      <c r="J51" s="25">
        <f t="shared" si="25"/>
        <v>2749834.8749162247</v>
      </c>
      <c r="K51" s="10">
        <f t="shared" si="26"/>
        <v>0.31249999999999989</v>
      </c>
    </row>
    <row r="52" spans="1:11" x14ac:dyDescent="0.15">
      <c r="A52" s="129" t="s">
        <v>27</v>
      </c>
      <c r="B52" s="175">
        <v>49.363148335281217</v>
      </c>
      <c r="C52" s="171">
        <v>20.991865627247734</v>
      </c>
      <c r="D52" s="25">
        <v>1000000</v>
      </c>
      <c r="E52" s="10">
        <v>0.64</v>
      </c>
      <c r="F52" s="10">
        <v>0.6</v>
      </c>
      <c r="G52" s="25">
        <f t="shared" si="24"/>
        <v>3921349.504752825</v>
      </c>
      <c r="H52" s="10">
        <v>0.55000000000000004</v>
      </c>
      <c r="I52" s="10">
        <v>0.75</v>
      </c>
      <c r="J52" s="25">
        <f t="shared" si="25"/>
        <v>2695927.7845175676</v>
      </c>
      <c r="K52" s="10">
        <f t="shared" si="26"/>
        <v>0.31249999999999989</v>
      </c>
    </row>
    <row r="53" spans="1:11" x14ac:dyDescent="0.15">
      <c r="A53" s="129" t="s">
        <v>28</v>
      </c>
      <c r="B53" s="175">
        <v>44.373059642206385</v>
      </c>
      <c r="C53" s="171">
        <v>38.08727319903997</v>
      </c>
      <c r="D53" s="25">
        <v>1000000</v>
      </c>
      <c r="E53" s="10">
        <v>0.64</v>
      </c>
      <c r="F53" s="10">
        <v>0.6</v>
      </c>
      <c r="G53" s="25">
        <f t="shared" si="24"/>
        <v>3097888.1193285687</v>
      </c>
      <c r="H53" s="10">
        <v>0.55000000000000004</v>
      </c>
      <c r="I53" s="10">
        <v>0.75</v>
      </c>
      <c r="J53" s="25">
        <f t="shared" si="25"/>
        <v>2129798.0820383909</v>
      </c>
      <c r="K53" s="10">
        <f t="shared" si="26"/>
        <v>0.3125</v>
      </c>
    </row>
    <row r="54" spans="1:11" x14ac:dyDescent="0.15">
      <c r="A54" s="131" t="s">
        <v>92</v>
      </c>
      <c r="B54" s="189">
        <f>AVERAGE(B45:B53)</f>
        <v>44.10151418488789</v>
      </c>
      <c r="C54" s="189">
        <f>AVERAGE(C45:C53)</f>
        <v>27.840458887882143</v>
      </c>
      <c r="D54" s="25">
        <v>1000000</v>
      </c>
      <c r="E54" s="10">
        <v>0.64</v>
      </c>
      <c r="F54" s="10">
        <v>0.6</v>
      </c>
      <c r="G54" s="25">
        <f t="shared" si="24"/>
        <v>3301457.7300370978</v>
      </c>
      <c r="H54" s="10">
        <v>0.55000000000000004</v>
      </c>
      <c r="I54" s="10">
        <v>0.75</v>
      </c>
      <c r="J54" s="25">
        <f t="shared" ref="J54" si="27">(D54*((B54/12)-(0.25*(C54/12)))*H54)/I54</f>
        <v>2269752.1894005048</v>
      </c>
      <c r="K54" s="10">
        <f t="shared" si="26"/>
        <v>0.3125</v>
      </c>
    </row>
  </sheetData>
  <mergeCells count="2">
    <mergeCell ref="E43:G43"/>
    <mergeCell ref="H43:J4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2:T30"/>
  <sheetViews>
    <sheetView workbookViewId="0">
      <selection activeCell="I19" sqref="I19"/>
    </sheetView>
  </sheetViews>
  <sheetFormatPr baseColWidth="10" defaultColWidth="8.83203125" defaultRowHeight="14" x14ac:dyDescent="0.15"/>
  <cols>
    <col min="1" max="1" width="13.33203125" customWidth="1"/>
    <col min="2" max="2" width="11.83203125" bestFit="1" customWidth="1"/>
    <col min="3" max="3" width="12.33203125" bestFit="1" customWidth="1"/>
    <col min="4" max="4" width="9.6640625" bestFit="1" customWidth="1"/>
    <col min="5" max="5" width="8.83203125" bestFit="1" customWidth="1"/>
    <col min="6" max="6" width="13.1640625" customWidth="1"/>
    <col min="7" max="8" width="9.83203125" customWidth="1"/>
    <col min="9" max="10" width="10.33203125" bestFit="1" customWidth="1"/>
    <col min="11" max="11" width="9.33203125" customWidth="1"/>
    <col min="12" max="12" width="10.1640625" bestFit="1" customWidth="1"/>
    <col min="13" max="14" width="10.33203125" bestFit="1" customWidth="1"/>
    <col min="15" max="15" width="10.1640625" bestFit="1" customWidth="1"/>
    <col min="16" max="17" width="10.33203125" customWidth="1"/>
    <col min="18" max="18" width="10.33203125" bestFit="1" customWidth="1"/>
    <col min="19" max="19" width="9.83203125" customWidth="1"/>
    <col min="20" max="20" width="11" customWidth="1"/>
  </cols>
  <sheetData>
    <row r="2" spans="1:20" s="2" customFormat="1" x14ac:dyDescent="0.15">
      <c r="B2" s="2" t="s">
        <v>73</v>
      </c>
      <c r="G2" s="2" t="s">
        <v>97</v>
      </c>
      <c r="J2" s="149" t="s">
        <v>67</v>
      </c>
      <c r="K2" s="149"/>
      <c r="L2" s="149"/>
      <c r="M2" s="149"/>
      <c r="N2" s="149"/>
      <c r="O2" s="36" t="s">
        <v>72</v>
      </c>
      <c r="P2" s="36"/>
      <c r="Q2" s="36"/>
      <c r="R2" s="36"/>
      <c r="S2" s="36"/>
    </row>
    <row r="3" spans="1:20" s="16" customFormat="1" ht="30" x14ac:dyDescent="0.15">
      <c r="A3" s="16" t="s">
        <v>19</v>
      </c>
      <c r="B3" s="28" t="s">
        <v>102</v>
      </c>
      <c r="C3" s="28" t="s">
        <v>50</v>
      </c>
      <c r="D3" s="28" t="s">
        <v>52</v>
      </c>
      <c r="E3" s="28" t="s">
        <v>65</v>
      </c>
      <c r="F3" s="28" t="s">
        <v>66</v>
      </c>
      <c r="G3" s="16" t="s">
        <v>34</v>
      </c>
      <c r="H3" s="16" t="s">
        <v>49</v>
      </c>
      <c r="I3" s="16" t="s">
        <v>51</v>
      </c>
      <c r="J3" s="15" t="s">
        <v>74</v>
      </c>
      <c r="K3" s="15" t="s">
        <v>68</v>
      </c>
      <c r="L3" s="15" t="s">
        <v>69</v>
      </c>
      <c r="M3" s="15" t="s">
        <v>70</v>
      </c>
      <c r="N3" s="15" t="s">
        <v>71</v>
      </c>
      <c r="O3" s="34" t="s">
        <v>74</v>
      </c>
      <c r="P3" s="34" t="s">
        <v>68</v>
      </c>
      <c r="Q3" s="34" t="s">
        <v>69</v>
      </c>
      <c r="R3" s="34" t="s">
        <v>70</v>
      </c>
      <c r="S3" s="34" t="s">
        <v>71</v>
      </c>
    </row>
    <row r="4" spans="1:20" x14ac:dyDescent="0.15">
      <c r="A4" t="s">
        <v>17</v>
      </c>
      <c r="B4" s="37">
        <f>SUM(C4:D4)</f>
        <v>622691</v>
      </c>
      <c r="C4" s="37">
        <v>383303</v>
      </c>
      <c r="D4" s="37">
        <v>239388</v>
      </c>
      <c r="E4" s="46">
        <f>C4/(SUM(C4:D4))</f>
        <v>0.61555892087728903</v>
      </c>
      <c r="F4" s="46">
        <f>D4/(SUM(C4:D4))</f>
        <v>0.38444107912271092</v>
      </c>
      <c r="G4" s="38">
        <f t="shared" ref="G4:G12" si="0">B19</f>
        <v>600925</v>
      </c>
      <c r="H4" s="38">
        <f t="shared" ref="H4:H12" si="1">$G4*E4</f>
        <v>369904.74452818494</v>
      </c>
      <c r="I4" s="38">
        <f t="shared" ref="I4:I12" si="2">$G4*F4</f>
        <v>231020.25547181506</v>
      </c>
      <c r="J4" s="33">
        <f>G4</f>
        <v>600925</v>
      </c>
      <c r="K4" s="33">
        <f>H4</f>
        <v>369904.74452818494</v>
      </c>
      <c r="L4" s="33">
        <f t="shared" ref="L4:L12" si="3">G19</f>
        <v>67791.9331958814</v>
      </c>
      <c r="M4" s="33">
        <f>I4</f>
        <v>231020.25547181506</v>
      </c>
      <c r="N4" s="33">
        <f>SUM(H19:L19)</f>
        <v>273962.93063692795</v>
      </c>
      <c r="O4" s="35">
        <f>G4</f>
        <v>600925</v>
      </c>
      <c r="P4" s="35">
        <f>H4</f>
        <v>369904.74452818494</v>
      </c>
      <c r="Q4" s="35">
        <f>N19</f>
        <v>18994.32143626114</v>
      </c>
      <c r="R4" s="35">
        <f>I4</f>
        <v>231020.25547181506</v>
      </c>
      <c r="S4" s="35">
        <f>SUM(O19:S19)</f>
        <v>295194.8672185106</v>
      </c>
    </row>
    <row r="5" spans="1:20" x14ac:dyDescent="0.15">
      <c r="A5" t="s">
        <v>21</v>
      </c>
      <c r="B5" s="37">
        <f t="shared" ref="B5:B13" si="4">SUM(C5:D5)</f>
        <v>418095</v>
      </c>
      <c r="C5" s="37">
        <v>315189</v>
      </c>
      <c r="D5" s="37">
        <v>102906</v>
      </c>
      <c r="E5" s="46">
        <f t="shared" ref="E5:E12" si="5">C5/(SUM(C5:D5))</f>
        <v>0.75386933591647831</v>
      </c>
      <c r="F5" s="46">
        <f t="shared" ref="F5:F12" si="6">D5/(SUM(C5:D5))</f>
        <v>0.24613066408352169</v>
      </c>
      <c r="G5" s="38">
        <f t="shared" si="0"/>
        <v>420081</v>
      </c>
      <c r="H5" s="38">
        <f t="shared" si="1"/>
        <v>316686.18450113013</v>
      </c>
      <c r="I5" s="38">
        <f t="shared" si="2"/>
        <v>103394.81549886988</v>
      </c>
      <c r="J5" s="33">
        <f t="shared" ref="J5:J12" si="7">G5</f>
        <v>420081</v>
      </c>
      <c r="K5" s="33">
        <f t="shared" ref="K5:K12" si="8">H5</f>
        <v>316686.18450113013</v>
      </c>
      <c r="L5" s="33">
        <f t="shared" si="3"/>
        <v>84890.770973781298</v>
      </c>
      <c r="M5" s="33">
        <f t="shared" ref="M5:M12" si="9">I5</f>
        <v>103394.81549886988</v>
      </c>
      <c r="N5" s="33">
        <f t="shared" ref="N5:N12" si="10">SUM(H20:L20)</f>
        <v>79491.221925433056</v>
      </c>
      <c r="O5" s="35">
        <f t="shared" ref="O5:O12" si="11">G5</f>
        <v>420081</v>
      </c>
      <c r="P5" s="35">
        <f t="shared" ref="P5:P12" si="12">H5</f>
        <v>316686.18450113013</v>
      </c>
      <c r="Q5" s="35">
        <f t="shared" ref="Q5:Q12" si="13">N20</f>
        <v>19596.243103841945</v>
      </c>
      <c r="R5" s="35">
        <f t="shared" ref="R5:R12" si="14">I5</f>
        <v>103394.81549886988</v>
      </c>
      <c r="S5" s="35">
        <f t="shared" ref="S5:S12" si="15">SUM(O20:S20)</f>
        <v>210937.95506007638</v>
      </c>
    </row>
    <row r="6" spans="1:20" x14ac:dyDescent="0.15">
      <c r="A6" t="s">
        <v>22</v>
      </c>
      <c r="B6" s="37">
        <f t="shared" si="4"/>
        <v>112946</v>
      </c>
      <c r="C6" s="37">
        <v>78272</v>
      </c>
      <c r="D6" s="37">
        <v>34674</v>
      </c>
      <c r="E6" s="46">
        <f t="shared" si="5"/>
        <v>0.69300373629876222</v>
      </c>
      <c r="F6" s="46">
        <f t="shared" si="6"/>
        <v>0.30699626370123778</v>
      </c>
      <c r="G6" s="38">
        <f t="shared" si="0"/>
        <v>121392</v>
      </c>
      <c r="H6" s="38">
        <f t="shared" si="1"/>
        <v>84125.109556779338</v>
      </c>
      <c r="I6" s="38">
        <f t="shared" si="2"/>
        <v>37266.890443220655</v>
      </c>
      <c r="J6" s="33">
        <f t="shared" si="7"/>
        <v>121392</v>
      </c>
      <c r="K6" s="33">
        <f t="shared" si="8"/>
        <v>84125.109556779338</v>
      </c>
      <c r="L6" s="33">
        <f t="shared" si="3"/>
        <v>17247.199584522474</v>
      </c>
      <c r="M6" s="33">
        <f t="shared" si="9"/>
        <v>37266.890443220655</v>
      </c>
      <c r="N6" s="33">
        <f t="shared" si="10"/>
        <v>32646.934572439022</v>
      </c>
      <c r="O6" s="35">
        <f t="shared" si="11"/>
        <v>121392</v>
      </c>
      <c r="P6" s="35">
        <f t="shared" si="12"/>
        <v>84125.109556779338</v>
      </c>
      <c r="Q6" s="35">
        <f t="shared" si="13"/>
        <v>6730.0469290648516</v>
      </c>
      <c r="R6" s="35">
        <f t="shared" si="14"/>
        <v>37266.890443220655</v>
      </c>
      <c r="S6" s="35">
        <f t="shared" si="15"/>
        <v>56364.399952105945</v>
      </c>
    </row>
    <row r="7" spans="1:20" x14ac:dyDescent="0.15">
      <c r="A7" t="s">
        <v>23</v>
      </c>
      <c r="B7" s="37">
        <f t="shared" si="4"/>
        <v>55659</v>
      </c>
      <c r="C7" s="37">
        <v>44645</v>
      </c>
      <c r="D7" s="37">
        <v>11014</v>
      </c>
      <c r="E7" s="46">
        <f t="shared" si="5"/>
        <v>0.80211645915305696</v>
      </c>
      <c r="F7" s="46">
        <f t="shared" si="6"/>
        <v>0.19788354084694298</v>
      </c>
      <c r="G7" s="38">
        <f t="shared" si="0"/>
        <v>56588</v>
      </c>
      <c r="H7" s="38">
        <f t="shared" si="1"/>
        <v>45390.166190553187</v>
      </c>
      <c r="I7" s="38">
        <f t="shared" si="2"/>
        <v>11197.833809446809</v>
      </c>
      <c r="J7" s="33">
        <f t="shared" si="7"/>
        <v>56588</v>
      </c>
      <c r="K7" s="33">
        <f t="shared" si="8"/>
        <v>45390.166190553187</v>
      </c>
      <c r="L7" s="33">
        <f t="shared" si="3"/>
        <v>30473.668854116262</v>
      </c>
      <c r="M7" s="33">
        <f t="shared" si="9"/>
        <v>11197.833809446809</v>
      </c>
      <c r="N7" s="33">
        <f t="shared" si="10"/>
        <v>8052.1303565237149</v>
      </c>
      <c r="O7" s="35">
        <f t="shared" si="11"/>
        <v>56588</v>
      </c>
      <c r="P7" s="35">
        <f t="shared" si="12"/>
        <v>45390.166190553187</v>
      </c>
      <c r="Q7" s="35">
        <f t="shared" si="13"/>
        <v>5855.2637175472228</v>
      </c>
      <c r="R7" s="35">
        <f t="shared" si="14"/>
        <v>11197.833809446809</v>
      </c>
      <c r="S7" s="35">
        <f t="shared" si="15"/>
        <v>20175.522602877085</v>
      </c>
    </row>
    <row r="8" spans="1:20" x14ac:dyDescent="0.15">
      <c r="A8" t="s">
        <v>24</v>
      </c>
      <c r="B8" s="37">
        <f t="shared" si="4"/>
        <v>405897</v>
      </c>
      <c r="C8" s="37">
        <v>121674</v>
      </c>
      <c r="D8" s="37">
        <v>284223</v>
      </c>
      <c r="E8" s="46">
        <f t="shared" si="5"/>
        <v>0.2997657041071996</v>
      </c>
      <c r="F8" s="46">
        <f t="shared" si="6"/>
        <v>0.7002342958928004</v>
      </c>
      <c r="G8" s="38">
        <f t="shared" si="0"/>
        <v>383132</v>
      </c>
      <c r="H8" s="38">
        <f t="shared" si="1"/>
        <v>114849.8337459996</v>
      </c>
      <c r="I8" s="38">
        <f t="shared" si="2"/>
        <v>268282.16625400039</v>
      </c>
      <c r="J8" s="33">
        <f t="shared" si="7"/>
        <v>383132</v>
      </c>
      <c r="K8" s="33">
        <f t="shared" si="8"/>
        <v>114849.8337459996</v>
      </c>
      <c r="L8" s="33">
        <f t="shared" si="3"/>
        <v>3871.7671539110293</v>
      </c>
      <c r="M8" s="33">
        <f t="shared" si="9"/>
        <v>268282.16625400039</v>
      </c>
      <c r="N8" s="33">
        <f t="shared" si="10"/>
        <v>103389.12050752844</v>
      </c>
      <c r="O8" s="35">
        <f t="shared" si="11"/>
        <v>383132</v>
      </c>
      <c r="P8" s="35">
        <f t="shared" si="12"/>
        <v>114849.8337459996</v>
      </c>
      <c r="Q8" s="35">
        <f t="shared" si="13"/>
        <v>293.64322161566747</v>
      </c>
      <c r="R8" s="35">
        <f t="shared" si="14"/>
        <v>268282.16625400039</v>
      </c>
      <c r="S8" s="35">
        <f t="shared" si="15"/>
        <v>74732.360120329322</v>
      </c>
    </row>
    <row r="9" spans="1:20" x14ac:dyDescent="0.15">
      <c r="A9" t="s">
        <v>25</v>
      </c>
      <c r="B9" s="37">
        <f t="shared" si="4"/>
        <v>280152</v>
      </c>
      <c r="C9" s="37">
        <v>177217</v>
      </c>
      <c r="D9" s="37">
        <v>102935</v>
      </c>
      <c r="E9" s="46">
        <f t="shared" si="5"/>
        <v>0.63257445957908565</v>
      </c>
      <c r="F9" s="46">
        <f t="shared" si="6"/>
        <v>0.36742554042091435</v>
      </c>
      <c r="G9" s="38">
        <f t="shared" si="0"/>
        <v>297140</v>
      </c>
      <c r="H9" s="38">
        <f t="shared" si="1"/>
        <v>187963.1749193295</v>
      </c>
      <c r="I9" s="38">
        <f t="shared" si="2"/>
        <v>109176.82508067049</v>
      </c>
      <c r="J9" s="33">
        <f t="shared" si="7"/>
        <v>297140</v>
      </c>
      <c r="K9" s="33">
        <f t="shared" si="8"/>
        <v>187963.1749193295</v>
      </c>
      <c r="L9" s="33">
        <f t="shared" si="3"/>
        <v>51190.702370511121</v>
      </c>
      <c r="M9" s="33">
        <f t="shared" si="9"/>
        <v>109176.82508067049</v>
      </c>
      <c r="N9" s="33">
        <f t="shared" si="10"/>
        <v>86358.510585085838</v>
      </c>
      <c r="O9" s="35">
        <f t="shared" si="11"/>
        <v>297140</v>
      </c>
      <c r="P9" s="35">
        <f t="shared" si="12"/>
        <v>187963.1749193295</v>
      </c>
      <c r="Q9" s="35">
        <f t="shared" si="13"/>
        <v>17783.604103115966</v>
      </c>
      <c r="R9" s="35">
        <f t="shared" si="14"/>
        <v>109176.82508067049</v>
      </c>
      <c r="S9" s="35">
        <f t="shared" si="15"/>
        <v>239460.89257837381</v>
      </c>
    </row>
    <row r="10" spans="1:20" x14ac:dyDescent="0.15">
      <c r="A10" t="s">
        <v>26</v>
      </c>
      <c r="B10" s="37">
        <f t="shared" si="4"/>
        <v>685903</v>
      </c>
      <c r="C10" s="37">
        <v>436642</v>
      </c>
      <c r="D10" s="37">
        <v>249261</v>
      </c>
      <c r="E10" s="46">
        <f t="shared" si="5"/>
        <v>0.6365943872530081</v>
      </c>
      <c r="F10" s="46">
        <f t="shared" si="6"/>
        <v>0.3634056127469919</v>
      </c>
      <c r="G10" s="38">
        <f t="shared" si="0"/>
        <v>713593</v>
      </c>
      <c r="H10" s="38">
        <f t="shared" si="1"/>
        <v>454269.29858303582</v>
      </c>
      <c r="I10" s="38">
        <f t="shared" si="2"/>
        <v>259323.70141696421</v>
      </c>
      <c r="J10" s="33">
        <f t="shared" si="7"/>
        <v>713593</v>
      </c>
      <c r="K10" s="33">
        <f t="shared" si="8"/>
        <v>454269.29858303582</v>
      </c>
      <c r="L10" s="33">
        <f t="shared" si="3"/>
        <v>222653.13374628525</v>
      </c>
      <c r="M10" s="33">
        <f t="shared" si="9"/>
        <v>259323.70141696421</v>
      </c>
      <c r="N10" s="33">
        <f t="shared" si="10"/>
        <v>213141.59455020996</v>
      </c>
      <c r="O10" s="35">
        <f t="shared" si="11"/>
        <v>713593</v>
      </c>
      <c r="P10" s="35">
        <f t="shared" si="12"/>
        <v>454269.29858303582</v>
      </c>
      <c r="Q10" s="35">
        <f t="shared" si="13"/>
        <v>42389.16521363888</v>
      </c>
      <c r="R10" s="35">
        <f t="shared" si="14"/>
        <v>259323.70141696421</v>
      </c>
      <c r="S10" s="35">
        <f t="shared" si="15"/>
        <v>834746.7791891034</v>
      </c>
    </row>
    <row r="11" spans="1:20" x14ac:dyDescent="0.15">
      <c r="A11" t="s">
        <v>27</v>
      </c>
      <c r="B11" s="37">
        <f t="shared" si="4"/>
        <v>159348</v>
      </c>
      <c r="C11" s="37">
        <v>123192</v>
      </c>
      <c r="D11" s="37">
        <v>36156</v>
      </c>
      <c r="E11" s="46">
        <f t="shared" si="5"/>
        <v>0.77310038406506509</v>
      </c>
      <c r="F11" s="46">
        <f t="shared" si="6"/>
        <v>0.22689961593493485</v>
      </c>
      <c r="G11" s="38">
        <f t="shared" si="0"/>
        <v>153795</v>
      </c>
      <c r="H11" s="38">
        <f t="shared" si="1"/>
        <v>118898.97356728668</v>
      </c>
      <c r="I11" s="38">
        <f t="shared" si="2"/>
        <v>34896.026432713305</v>
      </c>
      <c r="J11" s="33">
        <f t="shared" si="7"/>
        <v>153795</v>
      </c>
      <c r="K11" s="33">
        <f t="shared" si="8"/>
        <v>118898.97356728668</v>
      </c>
      <c r="L11" s="33">
        <f t="shared" si="3"/>
        <v>5149.1997377769458</v>
      </c>
      <c r="M11" s="33">
        <f t="shared" si="9"/>
        <v>34896.026432713305</v>
      </c>
      <c r="N11" s="33">
        <f t="shared" si="10"/>
        <v>17754.346603963786</v>
      </c>
      <c r="O11" s="35">
        <f t="shared" si="11"/>
        <v>153795</v>
      </c>
      <c r="P11" s="35">
        <f t="shared" si="12"/>
        <v>118898.97356728668</v>
      </c>
      <c r="Q11" s="35">
        <f t="shared" si="13"/>
        <v>1540.2830711989016</v>
      </c>
      <c r="R11" s="35">
        <f t="shared" si="14"/>
        <v>34896.026432713305</v>
      </c>
      <c r="S11" s="35">
        <f t="shared" si="15"/>
        <v>64178.792763147198</v>
      </c>
    </row>
    <row r="12" spans="1:20" x14ac:dyDescent="0.15">
      <c r="A12" t="s">
        <v>28</v>
      </c>
      <c r="B12" s="37">
        <f t="shared" si="4"/>
        <v>208033</v>
      </c>
      <c r="C12" s="37">
        <v>164136</v>
      </c>
      <c r="D12" s="37">
        <v>43897</v>
      </c>
      <c r="E12" s="46">
        <f t="shared" si="5"/>
        <v>0.78899020828426258</v>
      </c>
      <c r="F12" s="46">
        <f t="shared" si="6"/>
        <v>0.21100979171573742</v>
      </c>
      <c r="G12" s="38">
        <f t="shared" si="0"/>
        <v>231173</v>
      </c>
      <c r="H12" s="38">
        <f t="shared" si="1"/>
        <v>182393.23341969785</v>
      </c>
      <c r="I12" s="38">
        <f t="shared" si="2"/>
        <v>48779.766580302166</v>
      </c>
      <c r="J12" s="33">
        <f t="shared" si="7"/>
        <v>231173</v>
      </c>
      <c r="K12" s="33">
        <f t="shared" si="8"/>
        <v>182393.23341969785</v>
      </c>
      <c r="L12" s="33">
        <f t="shared" si="3"/>
        <v>23826.238816900215</v>
      </c>
      <c r="M12" s="33">
        <f t="shared" si="9"/>
        <v>48779.766580302166</v>
      </c>
      <c r="N12" s="33">
        <f t="shared" si="10"/>
        <v>82513.649059590607</v>
      </c>
      <c r="O12" s="35">
        <f t="shared" si="11"/>
        <v>231173</v>
      </c>
      <c r="P12" s="35">
        <f t="shared" si="12"/>
        <v>182393.23341969785</v>
      </c>
      <c r="Q12" s="35">
        <f t="shared" si="13"/>
        <v>15268.486775777066</v>
      </c>
      <c r="R12" s="35">
        <f t="shared" si="14"/>
        <v>48779.766580302166</v>
      </c>
      <c r="S12" s="35">
        <f t="shared" si="15"/>
        <v>275757.37293135416</v>
      </c>
    </row>
    <row r="13" spans="1:20" s="2" customFormat="1" x14ac:dyDescent="0.15">
      <c r="A13" s="2" t="s">
        <v>92</v>
      </c>
      <c r="B13" s="40">
        <f t="shared" si="4"/>
        <v>2948724</v>
      </c>
      <c r="C13" s="39">
        <f>SUM(C4:C12)</f>
        <v>1844270</v>
      </c>
      <c r="D13" s="39">
        <f>SUM(D4:D12)</f>
        <v>1104454</v>
      </c>
      <c r="E13" s="40"/>
      <c r="F13" s="40"/>
      <c r="G13" s="41">
        <f>SUM(G4:G12)</f>
        <v>2977819</v>
      </c>
      <c r="H13" s="41">
        <f t="shared" ref="H13:M13" si="16">SUM(H4:H12)</f>
        <v>1874480.7190119973</v>
      </c>
      <c r="I13" s="41">
        <f t="shared" si="16"/>
        <v>1103338.2809880031</v>
      </c>
      <c r="J13" s="42">
        <f t="shared" si="16"/>
        <v>2977819</v>
      </c>
      <c r="K13" s="42">
        <f t="shared" si="16"/>
        <v>1874480.7190119973</v>
      </c>
      <c r="L13" s="42">
        <f t="shared" si="16"/>
        <v>507094.61443368602</v>
      </c>
      <c r="M13" s="42">
        <f t="shared" si="16"/>
        <v>1103338.2809880031</v>
      </c>
      <c r="N13" s="42">
        <f>SUM(N4:N12)</f>
        <v>897310.43879770231</v>
      </c>
      <c r="O13" s="43">
        <f t="shared" ref="O13" si="17">SUM(O4:O12)</f>
        <v>2977819</v>
      </c>
      <c r="P13" s="43">
        <f t="shared" ref="P13" si="18">SUM(P4:P12)</f>
        <v>1874480.7190119973</v>
      </c>
      <c r="Q13" s="43">
        <f t="shared" ref="Q13" si="19">SUM(Q4:Q12)</f>
        <v>128451.05757206166</v>
      </c>
      <c r="R13" s="43">
        <f t="shared" ref="R13" si="20">SUM(R4:R12)</f>
        <v>1103338.2809880031</v>
      </c>
      <c r="S13" s="43">
        <f t="shared" ref="S13" si="21">SUM(S4:S12)</f>
        <v>2071548.9424158779</v>
      </c>
    </row>
    <row r="14" spans="1:20" s="2" customFormat="1" x14ac:dyDescent="0.15">
      <c r="A14" s="2" t="s">
        <v>169</v>
      </c>
      <c r="B14" s="4"/>
      <c r="C14" s="40"/>
      <c r="D14" s="40"/>
      <c r="E14" s="40"/>
      <c r="F14" s="40"/>
      <c r="G14" s="4"/>
      <c r="H14" s="4"/>
      <c r="I14" s="4"/>
      <c r="J14" s="44"/>
      <c r="K14" s="44">
        <f>SUM(K13:N13)</f>
        <v>4382224.0532313883</v>
      </c>
      <c r="L14" s="44">
        <f>SUM(L13,N13)</f>
        <v>1404405.0532313883</v>
      </c>
      <c r="M14" s="44"/>
      <c r="N14" s="44"/>
      <c r="O14" s="45"/>
      <c r="P14" s="45">
        <f>SUM(P13:S13)</f>
        <v>5177818.9999879403</v>
      </c>
      <c r="Q14" s="45">
        <f>SUM(Q13,S13)</f>
        <v>2199999.9999879394</v>
      </c>
      <c r="R14" s="45"/>
      <c r="S14" s="45"/>
      <c r="T14" s="4"/>
    </row>
    <row r="15" spans="1:20" x14ac:dyDescent="0.15">
      <c r="B15" s="31"/>
      <c r="F15" s="21"/>
    </row>
    <row r="16" spans="1:20" s="29" customFormat="1" x14ac:dyDescent="0.15">
      <c r="A16" s="29" t="s">
        <v>98</v>
      </c>
      <c r="B16" s="32" t="s">
        <v>99</v>
      </c>
      <c r="C16" s="29" t="s">
        <v>100</v>
      </c>
      <c r="D16" s="29" t="s">
        <v>101</v>
      </c>
      <c r="E16" s="29" t="s">
        <v>100</v>
      </c>
      <c r="F16" s="30" t="s">
        <v>101</v>
      </c>
      <c r="G16" s="29" t="s">
        <v>100</v>
      </c>
      <c r="H16" s="29" t="s">
        <v>100</v>
      </c>
      <c r="I16" s="29" t="s">
        <v>100</v>
      </c>
      <c r="J16" s="29" t="s">
        <v>100</v>
      </c>
      <c r="K16" s="29" t="s">
        <v>100</v>
      </c>
      <c r="L16" s="29" t="s">
        <v>100</v>
      </c>
      <c r="M16" s="29" t="s">
        <v>100</v>
      </c>
      <c r="N16" s="29" t="s">
        <v>101</v>
      </c>
      <c r="O16" s="29" t="s">
        <v>101</v>
      </c>
      <c r="P16" s="29" t="s">
        <v>101</v>
      </c>
      <c r="Q16" s="29" t="s">
        <v>101</v>
      </c>
      <c r="R16" s="29" t="s">
        <v>101</v>
      </c>
      <c r="S16" s="29" t="s">
        <v>101</v>
      </c>
      <c r="T16" s="29" t="s">
        <v>101</v>
      </c>
    </row>
    <row r="17" spans="1:20" s="29" customFormat="1" x14ac:dyDescent="0.15">
      <c r="A17" s="29" t="s">
        <v>47</v>
      </c>
      <c r="B17" s="29">
        <v>2020</v>
      </c>
      <c r="C17" s="29">
        <v>2070</v>
      </c>
      <c r="D17" s="29">
        <v>2070</v>
      </c>
      <c r="E17" s="29">
        <v>2070</v>
      </c>
      <c r="F17" s="29">
        <v>2070</v>
      </c>
      <c r="G17" s="29">
        <v>2070</v>
      </c>
      <c r="H17" s="29">
        <v>2070</v>
      </c>
      <c r="I17" s="29">
        <v>2070</v>
      </c>
      <c r="J17" s="29">
        <v>2070</v>
      </c>
      <c r="K17" s="29">
        <v>2070</v>
      </c>
      <c r="L17" s="29">
        <v>2070</v>
      </c>
      <c r="M17" s="29">
        <v>2070</v>
      </c>
      <c r="N17" s="29">
        <v>2070</v>
      </c>
      <c r="O17" s="29">
        <v>2070</v>
      </c>
      <c r="P17" s="29">
        <v>2070</v>
      </c>
      <c r="Q17" s="29">
        <v>2070</v>
      </c>
      <c r="R17" s="29">
        <v>2070</v>
      </c>
      <c r="S17" s="29">
        <v>2070</v>
      </c>
      <c r="T17" s="29">
        <v>2070</v>
      </c>
    </row>
    <row r="18" spans="1:20" s="16" customFormat="1" ht="60" x14ac:dyDescent="0.15">
      <c r="A18" s="16" t="s">
        <v>75</v>
      </c>
      <c r="B18" s="22" t="s">
        <v>76</v>
      </c>
      <c r="C18" s="16" t="s">
        <v>93</v>
      </c>
      <c r="D18" s="16" t="s">
        <v>94</v>
      </c>
      <c r="E18" s="16" t="s">
        <v>95</v>
      </c>
      <c r="F18" s="16" t="s">
        <v>96</v>
      </c>
      <c r="G18" s="16" t="s">
        <v>77</v>
      </c>
      <c r="H18" s="16" t="s">
        <v>78</v>
      </c>
      <c r="I18" s="16" t="s">
        <v>79</v>
      </c>
      <c r="J18" s="47" t="s">
        <v>80</v>
      </c>
      <c r="K18" s="47" t="s">
        <v>81</v>
      </c>
      <c r="L18" s="47" t="s">
        <v>82</v>
      </c>
      <c r="M18" s="16" t="s">
        <v>83</v>
      </c>
      <c r="N18" s="16" t="s">
        <v>84</v>
      </c>
      <c r="O18" s="16" t="s">
        <v>85</v>
      </c>
      <c r="P18" s="16" t="s">
        <v>86</v>
      </c>
      <c r="Q18" s="47" t="s">
        <v>87</v>
      </c>
      <c r="R18" s="47" t="s">
        <v>88</v>
      </c>
      <c r="S18" s="47" t="s">
        <v>89</v>
      </c>
      <c r="T18" s="16" t="s">
        <v>90</v>
      </c>
    </row>
    <row r="19" spans="1:20" x14ac:dyDescent="0.15">
      <c r="A19" t="s">
        <v>17</v>
      </c>
      <c r="B19" s="27">
        <v>600925</v>
      </c>
      <c r="C19" s="3">
        <v>338779.2779924951</v>
      </c>
      <c r="D19" s="3">
        <v>320701.12897897989</v>
      </c>
      <c r="E19" s="3">
        <v>939704.27799249522</v>
      </c>
      <c r="F19" s="3">
        <v>921626.12897898129</v>
      </c>
      <c r="G19" s="3">
        <v>67791.9331958814</v>
      </c>
      <c r="H19" s="3">
        <v>147140.30340152961</v>
      </c>
      <c r="I19" s="3">
        <v>76063.653366652332</v>
      </c>
      <c r="J19" s="48">
        <v>14787.403739779442</v>
      </c>
      <c r="K19" s="48">
        <v>20596.515614062173</v>
      </c>
      <c r="L19" s="48">
        <v>15375.054514904426</v>
      </c>
      <c r="M19" s="3">
        <v>341754.8638328095</v>
      </c>
      <c r="N19" s="3">
        <v>18994.32143626114</v>
      </c>
      <c r="O19" s="3">
        <v>141770.58851977551</v>
      </c>
      <c r="P19" s="3">
        <v>48183.369608098918</v>
      </c>
      <c r="Q19" s="48">
        <v>18806.676136950344</v>
      </c>
      <c r="R19" s="48">
        <v>60208.819304086675</v>
      </c>
      <c r="S19" s="48">
        <v>26225.413649599184</v>
      </c>
      <c r="T19" s="3">
        <v>314189.18865477189</v>
      </c>
    </row>
    <row r="20" spans="1:20" x14ac:dyDescent="0.15">
      <c r="A20" t="s">
        <v>21</v>
      </c>
      <c r="B20" s="27">
        <v>420081</v>
      </c>
      <c r="C20" s="3">
        <v>171499.8483474731</v>
      </c>
      <c r="D20" s="3">
        <v>240090.02847995804</v>
      </c>
      <c r="E20" s="3">
        <v>591580.84834747307</v>
      </c>
      <c r="F20" s="3">
        <v>660171.0284799583</v>
      </c>
      <c r="G20" s="3">
        <v>84890.770973781298</v>
      </c>
      <c r="H20" s="3">
        <v>72156.720141139493</v>
      </c>
      <c r="I20" s="3">
        <v>7334.501784293564</v>
      </c>
      <c r="J20" s="48">
        <v>0</v>
      </c>
      <c r="K20" s="48">
        <v>0</v>
      </c>
      <c r="L20" s="48">
        <v>0</v>
      </c>
      <c r="M20" s="3">
        <v>164381.99289921424</v>
      </c>
      <c r="N20" s="3">
        <v>19596.243103841945</v>
      </c>
      <c r="O20" s="3">
        <v>179235.72793611174</v>
      </c>
      <c r="P20" s="3">
        <v>27120.682602697918</v>
      </c>
      <c r="Q20" s="48">
        <v>463.7798042483289</v>
      </c>
      <c r="R20" s="48">
        <v>858.38721903822875</v>
      </c>
      <c r="S20" s="48">
        <v>3259.3774979801465</v>
      </c>
      <c r="T20" s="3">
        <v>230534.19816391819</v>
      </c>
    </row>
    <row r="21" spans="1:20" x14ac:dyDescent="0.15">
      <c r="A21" t="s">
        <v>22</v>
      </c>
      <c r="B21" s="27">
        <v>121392</v>
      </c>
      <c r="C21" s="3">
        <v>48079.313129934999</v>
      </c>
      <c r="D21" s="3">
        <v>61804.742082627025</v>
      </c>
      <c r="E21" s="3">
        <v>169471.31312993509</v>
      </c>
      <c r="F21" s="3">
        <v>183196.74208262691</v>
      </c>
      <c r="G21" s="3">
        <v>17247.199584522474</v>
      </c>
      <c r="H21" s="3">
        <v>17203.593569239012</v>
      </c>
      <c r="I21" s="3">
        <v>9236.6220733625451</v>
      </c>
      <c r="J21" s="48">
        <v>1576.3227046321961</v>
      </c>
      <c r="K21" s="48">
        <v>2270.9740958142847</v>
      </c>
      <c r="L21" s="48">
        <v>2359.4221293909882</v>
      </c>
      <c r="M21" s="3">
        <v>49894.134156961481</v>
      </c>
      <c r="N21" s="3">
        <v>6730.0469290648516</v>
      </c>
      <c r="O21" s="3">
        <v>46600.828900691478</v>
      </c>
      <c r="P21" s="3">
        <v>4536.2757365272828</v>
      </c>
      <c r="Q21" s="48">
        <v>965.29857170324215</v>
      </c>
      <c r="R21" s="48">
        <v>1820.5291597586261</v>
      </c>
      <c r="S21" s="48">
        <v>2441.467583425313</v>
      </c>
      <c r="T21" s="3">
        <v>63094.446881170785</v>
      </c>
    </row>
    <row r="22" spans="1:20" x14ac:dyDescent="0.15">
      <c r="A22" t="s">
        <v>23</v>
      </c>
      <c r="B22" s="27">
        <v>56588</v>
      </c>
      <c r="C22" s="3">
        <v>37393.701911738994</v>
      </c>
      <c r="D22" s="3">
        <v>25848.326116614993</v>
      </c>
      <c r="E22" s="3">
        <v>93981.701911739045</v>
      </c>
      <c r="F22" s="3">
        <v>82436.326116615019</v>
      </c>
      <c r="G22" s="3">
        <v>30473.668854116262</v>
      </c>
      <c r="H22" s="3">
        <v>8052.1303565237149</v>
      </c>
      <c r="I22" s="3">
        <v>0</v>
      </c>
      <c r="J22" s="48">
        <v>0</v>
      </c>
      <c r="K22" s="48">
        <v>0</v>
      </c>
      <c r="L22" s="48">
        <v>0</v>
      </c>
      <c r="M22" s="3">
        <v>38525.799210639983</v>
      </c>
      <c r="N22" s="3">
        <v>5855.2637175472228</v>
      </c>
      <c r="O22" s="3">
        <v>17936.82418105047</v>
      </c>
      <c r="P22" s="3">
        <v>373.78940114764873</v>
      </c>
      <c r="Q22" s="48">
        <v>516.86454603826883</v>
      </c>
      <c r="R22" s="48">
        <v>674.54640968202852</v>
      </c>
      <c r="S22" s="48">
        <v>673.4980649586696</v>
      </c>
      <c r="T22" s="3">
        <v>26030.786320424304</v>
      </c>
    </row>
    <row r="23" spans="1:20" x14ac:dyDescent="0.15">
      <c r="A23" t="s">
        <v>24</v>
      </c>
      <c r="B23" s="27">
        <v>383132</v>
      </c>
      <c r="C23" s="3">
        <v>109409.81416209592</v>
      </c>
      <c r="D23" s="3">
        <v>77765.945960973957</v>
      </c>
      <c r="E23" s="3">
        <v>492541.8141620963</v>
      </c>
      <c r="F23" s="3">
        <v>460897.94596097461</v>
      </c>
      <c r="G23" s="3">
        <v>3871.7671539110293</v>
      </c>
      <c r="H23" s="3">
        <v>61612.021233423897</v>
      </c>
      <c r="I23" s="3">
        <v>31204.028358016178</v>
      </c>
      <c r="J23" s="48">
        <v>4141.0510644272454</v>
      </c>
      <c r="K23" s="48">
        <v>4507.7276127483583</v>
      </c>
      <c r="L23" s="48">
        <v>1924.2922389127602</v>
      </c>
      <c r="M23" s="3">
        <v>107260.88766143947</v>
      </c>
      <c r="N23" s="3">
        <v>293.64322161566747</v>
      </c>
      <c r="O23" s="3">
        <v>20626.7072442137</v>
      </c>
      <c r="P23" s="3">
        <v>12890.539999671073</v>
      </c>
      <c r="Q23" s="48">
        <v>7941.3971200406613</v>
      </c>
      <c r="R23" s="48">
        <v>26817.918264732241</v>
      </c>
      <c r="S23" s="48">
        <v>6455.7974916716485</v>
      </c>
      <c r="T23" s="3">
        <v>75026.003341944961</v>
      </c>
    </row>
    <row r="24" spans="1:20" x14ac:dyDescent="0.15">
      <c r="A24" t="s">
        <v>25</v>
      </c>
      <c r="B24" s="27">
        <v>297140</v>
      </c>
      <c r="C24" s="3">
        <v>134983.30997621594</v>
      </c>
      <c r="D24" s="3">
        <v>257563.09239092303</v>
      </c>
      <c r="E24" s="3">
        <v>432123.309976216</v>
      </c>
      <c r="F24" s="3">
        <v>554703.09239092306</v>
      </c>
      <c r="G24" s="3">
        <v>51190.702370511121</v>
      </c>
      <c r="H24" s="3">
        <v>55357.989730940171</v>
      </c>
      <c r="I24" s="3">
        <v>24291.546994125114</v>
      </c>
      <c r="J24" s="48">
        <v>6598.253184116812</v>
      </c>
      <c r="K24" s="48">
        <v>51.417655258894754</v>
      </c>
      <c r="L24" s="48">
        <v>59.30302064484593</v>
      </c>
      <c r="M24" s="3">
        <v>137549.21295559691</v>
      </c>
      <c r="N24" s="3">
        <v>17783.604103115966</v>
      </c>
      <c r="O24" s="3">
        <v>118290.3503525812</v>
      </c>
      <c r="P24" s="3">
        <v>46875.629856906162</v>
      </c>
      <c r="Q24" s="48">
        <v>16988.757770522152</v>
      </c>
      <c r="R24" s="48">
        <v>43388.856670655689</v>
      </c>
      <c r="S24" s="48">
        <v>13917.297927708603</v>
      </c>
      <c r="T24" s="3">
        <v>257244.49668148975</v>
      </c>
    </row>
    <row r="25" spans="1:20" x14ac:dyDescent="0.15">
      <c r="A25" t="s">
        <v>26</v>
      </c>
      <c r="B25" s="27">
        <v>713593</v>
      </c>
      <c r="C25" s="3">
        <v>439077.99877116992</v>
      </c>
      <c r="D25" s="3">
        <v>869453.40446305345</v>
      </c>
      <c r="E25" s="3">
        <v>1152670.9987711718</v>
      </c>
      <c r="F25" s="3">
        <v>1583046.4044630539</v>
      </c>
      <c r="G25" s="3">
        <v>222653.13374628525</v>
      </c>
      <c r="H25" s="3">
        <v>141129.27355379515</v>
      </c>
      <c r="I25" s="3">
        <v>36814.373777423192</v>
      </c>
      <c r="J25" s="48">
        <v>10706.704005453694</v>
      </c>
      <c r="K25" s="48">
        <v>11697.968964072803</v>
      </c>
      <c r="L25" s="48">
        <v>12793.274249465123</v>
      </c>
      <c r="M25" s="3">
        <v>435794.72829649493</v>
      </c>
      <c r="N25" s="3">
        <v>42389.16521363888</v>
      </c>
      <c r="O25" s="3">
        <v>268782.51879256958</v>
      </c>
      <c r="P25" s="3">
        <v>217598.74998558575</v>
      </c>
      <c r="Q25" s="48">
        <v>50398.02155039733</v>
      </c>
      <c r="R25" s="48">
        <v>99720.278893437702</v>
      </c>
      <c r="S25" s="48">
        <v>198247.20996711301</v>
      </c>
      <c r="T25" s="3">
        <v>877135.94440274197</v>
      </c>
    </row>
    <row r="26" spans="1:20" x14ac:dyDescent="0.15">
      <c r="A26" t="s">
        <v>27</v>
      </c>
      <c r="B26" s="27">
        <v>153795</v>
      </c>
      <c r="C26" s="3">
        <v>22229.966705930008</v>
      </c>
      <c r="D26" s="3">
        <v>65523.263876941972</v>
      </c>
      <c r="E26" s="3">
        <v>176024.9667059299</v>
      </c>
      <c r="F26" s="3">
        <v>219318.26387694193</v>
      </c>
      <c r="G26" s="3">
        <v>5149.1997377769458</v>
      </c>
      <c r="H26" s="3">
        <v>17723.904636776781</v>
      </c>
      <c r="I26" s="3">
        <v>30.441967187005517</v>
      </c>
      <c r="J26" s="48">
        <v>0</v>
      </c>
      <c r="K26" s="48">
        <v>0</v>
      </c>
      <c r="L26" s="48">
        <v>0</v>
      </c>
      <c r="M26" s="3">
        <v>22903.546341740737</v>
      </c>
      <c r="N26" s="3">
        <v>1540.2830711989016</v>
      </c>
      <c r="O26" s="3">
        <v>64152.162675650652</v>
      </c>
      <c r="P26" s="3">
        <v>26.630087496542199</v>
      </c>
      <c r="Q26" s="48">
        <v>0</v>
      </c>
      <c r="R26" s="48">
        <v>0</v>
      </c>
      <c r="S26" s="48">
        <v>0</v>
      </c>
      <c r="T26" s="3">
        <v>65719.075834346091</v>
      </c>
    </row>
    <row r="27" spans="1:20" x14ac:dyDescent="0.15">
      <c r="A27" t="s">
        <v>28</v>
      </c>
      <c r="B27" s="27">
        <v>231173</v>
      </c>
      <c r="C27" s="3">
        <v>102951.82223433306</v>
      </c>
      <c r="D27" s="3">
        <v>281250.06763786206</v>
      </c>
      <c r="E27" s="3">
        <v>334124.82223433291</v>
      </c>
      <c r="F27" s="3">
        <v>512423.06763786194</v>
      </c>
      <c r="G27" s="3">
        <v>23826.238816900215</v>
      </c>
      <c r="H27" s="3">
        <v>82513.649059590607</v>
      </c>
      <c r="I27" s="3">
        <v>0</v>
      </c>
      <c r="J27" s="48">
        <v>0</v>
      </c>
      <c r="K27" s="48">
        <v>0</v>
      </c>
      <c r="L27" s="48">
        <v>0</v>
      </c>
      <c r="M27" s="3">
        <v>106339.88787649087</v>
      </c>
      <c r="N27" s="3">
        <v>15268.486775777066</v>
      </c>
      <c r="O27" s="3">
        <v>275757.37293135416</v>
      </c>
      <c r="P27" s="3">
        <v>0</v>
      </c>
      <c r="Q27" s="48">
        <v>0</v>
      </c>
      <c r="R27" s="48">
        <v>0</v>
      </c>
      <c r="S27" s="48">
        <v>0</v>
      </c>
      <c r="T27" s="3">
        <v>291025.85970713123</v>
      </c>
    </row>
    <row r="28" spans="1:20" s="2" customFormat="1" x14ac:dyDescent="0.15">
      <c r="A28" s="2" t="s">
        <v>91</v>
      </c>
      <c r="B28" s="49">
        <v>2977819</v>
      </c>
      <c r="C28" s="4">
        <v>1404405.0532313869</v>
      </c>
      <c r="D28" s="4">
        <v>2199999.9999879347</v>
      </c>
      <c r="E28" s="4">
        <v>4382224.0532313893</v>
      </c>
      <c r="F28" s="4">
        <v>5177818.9999879366</v>
      </c>
      <c r="G28" s="4">
        <v>507094.61443368602</v>
      </c>
      <c r="H28" s="4">
        <v>602889.58568295848</v>
      </c>
      <c r="I28" s="4">
        <v>184975.16832105993</v>
      </c>
      <c r="J28" s="50">
        <v>37809.734698409389</v>
      </c>
      <c r="K28" s="50">
        <v>39124.603941956506</v>
      </c>
      <c r="L28" s="50">
        <v>32511.34615331814</v>
      </c>
      <c r="M28" s="4">
        <v>1404405.0532313883</v>
      </c>
      <c r="N28" s="4">
        <v>128451.05757206166</v>
      </c>
      <c r="O28" s="4">
        <v>1133153.0815339985</v>
      </c>
      <c r="P28" s="4">
        <v>357605.6672781313</v>
      </c>
      <c r="Q28" s="50">
        <v>96080.795499900327</v>
      </c>
      <c r="R28" s="50">
        <v>233489.3359213912</v>
      </c>
      <c r="S28" s="50">
        <v>251220.06218245658</v>
      </c>
      <c r="T28" s="4">
        <v>2199999.9999879389</v>
      </c>
    </row>
    <row r="29" spans="1:20" s="2" customFormat="1" x14ac:dyDescent="0.15">
      <c r="A29" s="2" t="s">
        <v>104</v>
      </c>
      <c r="J29" s="50">
        <f>SUM(J28:L28)</f>
        <v>109445.68479368403</v>
      </c>
      <c r="Q29" s="50">
        <f>SUM(Q28:S28)</f>
        <v>580790.19360374811</v>
      </c>
    </row>
    <row r="30" spans="1:20" x14ac:dyDescent="0.15">
      <c r="M30" s="3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S51"/>
  <sheetViews>
    <sheetView workbookViewId="0">
      <selection activeCell="I19" sqref="I19"/>
    </sheetView>
  </sheetViews>
  <sheetFormatPr baseColWidth="10" defaultColWidth="8.83203125" defaultRowHeight="14" x14ac:dyDescent="0.15"/>
  <cols>
    <col min="1" max="1" width="13.5" customWidth="1"/>
    <col min="5" max="6" width="8.83203125" bestFit="1" customWidth="1"/>
    <col min="7" max="7" width="11.83203125" customWidth="1"/>
    <col min="8" max="8" width="10.1640625" customWidth="1"/>
    <col min="9" max="9" width="9.6640625" customWidth="1"/>
    <col min="10" max="10" width="9.33203125" bestFit="1" customWidth="1"/>
    <col min="11" max="13" width="8.83203125" bestFit="1" customWidth="1"/>
    <col min="14" max="14" width="7.83203125" bestFit="1" customWidth="1"/>
    <col min="16" max="19" width="8.83203125" bestFit="1" customWidth="1"/>
  </cols>
  <sheetData>
    <row r="1" spans="1:19" ht="15" thickBot="1" x14ac:dyDescent="0.2">
      <c r="A1" s="211" t="s">
        <v>73</v>
      </c>
      <c r="B1" s="212"/>
      <c r="C1" s="212"/>
      <c r="D1" s="212"/>
      <c r="E1" s="212"/>
      <c r="F1" s="213"/>
      <c r="G1" s="205" t="s">
        <v>97</v>
      </c>
      <c r="H1" s="206"/>
      <c r="I1" s="207"/>
      <c r="J1" s="205" t="s">
        <v>67</v>
      </c>
      <c r="K1" s="206"/>
      <c r="L1" s="206"/>
      <c r="M1" s="206"/>
      <c r="N1" s="207"/>
      <c r="O1" s="205" t="s">
        <v>72</v>
      </c>
      <c r="P1" s="206"/>
      <c r="Q1" s="206"/>
      <c r="R1" s="206"/>
      <c r="S1" s="207"/>
    </row>
    <row r="2" spans="1:19" ht="46" thickBot="1" x14ac:dyDescent="0.2">
      <c r="A2" s="125" t="s">
        <v>19</v>
      </c>
      <c r="B2" s="126" t="s">
        <v>139</v>
      </c>
      <c r="C2" s="127" t="s">
        <v>137</v>
      </c>
      <c r="D2" s="127" t="s">
        <v>138</v>
      </c>
      <c r="E2" s="127" t="s">
        <v>141</v>
      </c>
      <c r="F2" s="128" t="s">
        <v>142</v>
      </c>
      <c r="G2" s="101" t="s">
        <v>34</v>
      </c>
      <c r="H2" s="102" t="s">
        <v>49</v>
      </c>
      <c r="I2" s="103" t="s">
        <v>51</v>
      </c>
      <c r="J2" s="101" t="s">
        <v>74</v>
      </c>
      <c r="K2" s="102" t="s">
        <v>68</v>
      </c>
      <c r="L2" s="102" t="s">
        <v>69</v>
      </c>
      <c r="M2" s="102" t="s">
        <v>70</v>
      </c>
      <c r="N2" s="103" t="s">
        <v>71</v>
      </c>
      <c r="O2" s="101" t="s">
        <v>74</v>
      </c>
      <c r="P2" s="102" t="s">
        <v>68</v>
      </c>
      <c r="Q2" s="102" t="s">
        <v>69</v>
      </c>
      <c r="R2" s="102" t="s">
        <v>70</v>
      </c>
      <c r="S2" s="103" t="s">
        <v>71</v>
      </c>
    </row>
    <row r="3" spans="1:19" x14ac:dyDescent="0.15">
      <c r="A3" s="91" t="s">
        <v>17</v>
      </c>
      <c r="B3" s="92">
        <v>622691</v>
      </c>
      <c r="C3" s="93">
        <v>383303</v>
      </c>
      <c r="D3" s="93">
        <v>239388</v>
      </c>
      <c r="E3" s="94">
        <v>0.61555892087728903</v>
      </c>
      <c r="F3" s="95">
        <v>0.38444107912271092</v>
      </c>
      <c r="G3" s="96">
        <v>600925</v>
      </c>
      <c r="H3" s="97">
        <v>369904.74452818494</v>
      </c>
      <c r="I3" s="98">
        <v>231020.25547181506</v>
      </c>
      <c r="J3" s="92">
        <v>600925</v>
      </c>
      <c r="K3" s="93">
        <v>369904.74452818494</v>
      </c>
      <c r="L3" s="93">
        <v>67791.9331958814</v>
      </c>
      <c r="M3" s="93">
        <v>231020.25547181506</v>
      </c>
      <c r="N3" s="99">
        <v>273962.93063692795</v>
      </c>
      <c r="O3" s="92">
        <v>600925</v>
      </c>
      <c r="P3" s="93">
        <v>369904.74452818494</v>
      </c>
      <c r="Q3" s="93">
        <v>18994.32143626114</v>
      </c>
      <c r="R3" s="93">
        <v>231020.25547181506</v>
      </c>
      <c r="S3" s="99">
        <v>295194.8672185106</v>
      </c>
    </row>
    <row r="4" spans="1:19" x14ac:dyDescent="0.15">
      <c r="A4" s="81" t="s">
        <v>21</v>
      </c>
      <c r="B4" s="82">
        <v>418095</v>
      </c>
      <c r="C4" s="78">
        <v>315189</v>
      </c>
      <c r="D4" s="78">
        <v>102906</v>
      </c>
      <c r="E4" s="79">
        <v>0.75386933591647831</v>
      </c>
      <c r="F4" s="83">
        <v>0.24613066408352169</v>
      </c>
      <c r="G4" s="84">
        <v>420081</v>
      </c>
      <c r="H4" s="80">
        <v>316686.18450113013</v>
      </c>
      <c r="I4" s="86">
        <v>103394.81549886988</v>
      </c>
      <c r="J4" s="82">
        <v>420081</v>
      </c>
      <c r="K4" s="78">
        <v>316686.18450113013</v>
      </c>
      <c r="L4" s="78">
        <v>84890.770973781298</v>
      </c>
      <c r="M4" s="78">
        <v>103394.81549886988</v>
      </c>
      <c r="N4" s="85">
        <v>79491.221925433056</v>
      </c>
      <c r="O4" s="82">
        <v>420081</v>
      </c>
      <c r="P4" s="78">
        <v>316686.18450113013</v>
      </c>
      <c r="Q4" s="78">
        <v>19596.243103841945</v>
      </c>
      <c r="R4" s="78">
        <v>103394.81549886988</v>
      </c>
      <c r="S4" s="85">
        <v>210937.95506007638</v>
      </c>
    </row>
    <row r="5" spans="1:19" x14ac:dyDescent="0.15">
      <c r="A5" s="81" t="s">
        <v>22</v>
      </c>
      <c r="B5" s="82">
        <v>112946</v>
      </c>
      <c r="C5" s="78">
        <v>78272</v>
      </c>
      <c r="D5" s="78">
        <v>34674</v>
      </c>
      <c r="E5" s="79">
        <v>0.69300373629876222</v>
      </c>
      <c r="F5" s="83">
        <v>0.30699626370123778</v>
      </c>
      <c r="G5" s="84">
        <v>121392</v>
      </c>
      <c r="H5" s="80">
        <v>84125.109556779338</v>
      </c>
      <c r="I5" s="86">
        <v>37266.890443220655</v>
      </c>
      <c r="J5" s="82">
        <v>121392</v>
      </c>
      <c r="K5" s="78">
        <v>84125.109556779338</v>
      </c>
      <c r="L5" s="78">
        <v>17247.199584522474</v>
      </c>
      <c r="M5" s="78">
        <v>37266.890443220655</v>
      </c>
      <c r="N5" s="85">
        <v>32646.934572439022</v>
      </c>
      <c r="O5" s="82">
        <v>121392</v>
      </c>
      <c r="P5" s="78">
        <v>84125.109556779338</v>
      </c>
      <c r="Q5" s="78">
        <v>6730.0469290648516</v>
      </c>
      <c r="R5" s="78">
        <v>37266.890443220655</v>
      </c>
      <c r="S5" s="85">
        <v>56364.399952105945</v>
      </c>
    </row>
    <row r="6" spans="1:19" x14ac:dyDescent="0.15">
      <c r="A6" s="81" t="s">
        <v>23</v>
      </c>
      <c r="B6" s="82">
        <v>55659</v>
      </c>
      <c r="C6" s="78">
        <v>44645</v>
      </c>
      <c r="D6" s="78">
        <v>11014</v>
      </c>
      <c r="E6" s="79">
        <v>0.80211645915305696</v>
      </c>
      <c r="F6" s="83">
        <v>0.19788354084694298</v>
      </c>
      <c r="G6" s="84">
        <v>56588</v>
      </c>
      <c r="H6" s="80">
        <v>45390.166190553187</v>
      </c>
      <c r="I6" s="86">
        <v>11197.833809446809</v>
      </c>
      <c r="J6" s="82">
        <v>56588</v>
      </c>
      <c r="K6" s="78">
        <v>45390.166190553187</v>
      </c>
      <c r="L6" s="78">
        <v>30473.668854116262</v>
      </c>
      <c r="M6" s="78">
        <v>11197.833809446809</v>
      </c>
      <c r="N6" s="85">
        <v>8052.1303565237149</v>
      </c>
      <c r="O6" s="82">
        <v>56588</v>
      </c>
      <c r="P6" s="78">
        <v>45390.166190553187</v>
      </c>
      <c r="Q6" s="78">
        <v>5855.2637175472228</v>
      </c>
      <c r="R6" s="78">
        <v>11197.833809446809</v>
      </c>
      <c r="S6" s="85">
        <v>20175.522602877085</v>
      </c>
    </row>
    <row r="7" spans="1:19" x14ac:dyDescent="0.15">
      <c r="A7" s="81" t="s">
        <v>24</v>
      </c>
      <c r="B7" s="82">
        <v>405897</v>
      </c>
      <c r="C7" s="78">
        <v>121674</v>
      </c>
      <c r="D7" s="78">
        <v>284223</v>
      </c>
      <c r="E7" s="79">
        <v>0.2997657041071996</v>
      </c>
      <c r="F7" s="83">
        <v>0.7002342958928004</v>
      </c>
      <c r="G7" s="84">
        <v>383132</v>
      </c>
      <c r="H7" s="80">
        <v>114849.8337459996</v>
      </c>
      <c r="I7" s="86">
        <v>268282.16625400039</v>
      </c>
      <c r="J7" s="82">
        <v>383132</v>
      </c>
      <c r="K7" s="78">
        <v>114849.8337459996</v>
      </c>
      <c r="L7" s="78">
        <v>3871.7671539110293</v>
      </c>
      <c r="M7" s="78">
        <v>268282.16625400039</v>
      </c>
      <c r="N7" s="85">
        <v>103389.12050752844</v>
      </c>
      <c r="O7" s="82">
        <v>383132</v>
      </c>
      <c r="P7" s="78">
        <v>114849.8337459996</v>
      </c>
      <c r="Q7" s="78">
        <v>293.64322161566747</v>
      </c>
      <c r="R7" s="78">
        <v>268282.16625400039</v>
      </c>
      <c r="S7" s="85">
        <v>74732.360120329322</v>
      </c>
    </row>
    <row r="8" spans="1:19" x14ac:dyDescent="0.15">
      <c r="A8" s="81" t="s">
        <v>25</v>
      </c>
      <c r="B8" s="82">
        <v>280152</v>
      </c>
      <c r="C8" s="78">
        <v>177217</v>
      </c>
      <c r="D8" s="78">
        <v>102935</v>
      </c>
      <c r="E8" s="79">
        <v>0.63257445957908565</v>
      </c>
      <c r="F8" s="83">
        <v>0.36742554042091435</v>
      </c>
      <c r="G8" s="84">
        <v>297140</v>
      </c>
      <c r="H8" s="80">
        <v>187963.1749193295</v>
      </c>
      <c r="I8" s="86">
        <v>109176.82508067049</v>
      </c>
      <c r="J8" s="82">
        <v>297140</v>
      </c>
      <c r="K8" s="78">
        <v>187963.1749193295</v>
      </c>
      <c r="L8" s="78">
        <v>51190.702370511121</v>
      </c>
      <c r="M8" s="78">
        <v>109176.82508067049</v>
      </c>
      <c r="N8" s="85">
        <v>86358.510585085838</v>
      </c>
      <c r="O8" s="82">
        <v>297140</v>
      </c>
      <c r="P8" s="78">
        <v>187963.1749193295</v>
      </c>
      <c r="Q8" s="78">
        <v>17783.604103115966</v>
      </c>
      <c r="R8" s="78">
        <v>109176.82508067049</v>
      </c>
      <c r="S8" s="85">
        <v>239460.89257837381</v>
      </c>
    </row>
    <row r="9" spans="1:19" x14ac:dyDescent="0.15">
      <c r="A9" s="81" t="s">
        <v>26</v>
      </c>
      <c r="B9" s="82">
        <v>685903</v>
      </c>
      <c r="C9" s="78">
        <v>436642</v>
      </c>
      <c r="D9" s="78">
        <v>249261</v>
      </c>
      <c r="E9" s="79">
        <v>0.6365943872530081</v>
      </c>
      <c r="F9" s="83">
        <v>0.3634056127469919</v>
      </c>
      <c r="G9" s="84">
        <v>713593</v>
      </c>
      <c r="H9" s="80">
        <v>454269.29858303582</v>
      </c>
      <c r="I9" s="86">
        <v>259323.70141696421</v>
      </c>
      <c r="J9" s="82">
        <v>713593</v>
      </c>
      <c r="K9" s="78">
        <v>454269.29858303582</v>
      </c>
      <c r="L9" s="78">
        <v>222653.13374628525</v>
      </c>
      <c r="M9" s="78">
        <v>259323.70141696421</v>
      </c>
      <c r="N9" s="85">
        <v>213141.59455020996</v>
      </c>
      <c r="O9" s="82">
        <v>713593</v>
      </c>
      <c r="P9" s="78">
        <v>454269.29858303582</v>
      </c>
      <c r="Q9" s="78">
        <v>42389.16521363888</v>
      </c>
      <c r="R9" s="78">
        <v>259323.70141696421</v>
      </c>
      <c r="S9" s="85">
        <v>834746.7791891034</v>
      </c>
    </row>
    <row r="10" spans="1:19" x14ac:dyDescent="0.15">
      <c r="A10" s="81" t="s">
        <v>27</v>
      </c>
      <c r="B10" s="82">
        <v>159348</v>
      </c>
      <c r="C10" s="78">
        <v>123192</v>
      </c>
      <c r="D10" s="78">
        <v>36156</v>
      </c>
      <c r="E10" s="79">
        <v>0.77310038406506509</v>
      </c>
      <c r="F10" s="83">
        <v>0.22689961593493485</v>
      </c>
      <c r="G10" s="84">
        <v>153795</v>
      </c>
      <c r="H10" s="80">
        <v>118898.97356728668</v>
      </c>
      <c r="I10" s="86">
        <v>34896.026432713305</v>
      </c>
      <c r="J10" s="82">
        <v>153795</v>
      </c>
      <c r="K10" s="78">
        <v>118898.97356728668</v>
      </c>
      <c r="L10" s="78">
        <v>5149.1997377769458</v>
      </c>
      <c r="M10" s="78">
        <v>34896.026432713305</v>
      </c>
      <c r="N10" s="85">
        <v>17754.346603963786</v>
      </c>
      <c r="O10" s="82">
        <v>153795</v>
      </c>
      <c r="P10" s="78">
        <v>118898.97356728668</v>
      </c>
      <c r="Q10" s="78">
        <v>1540.2830711989016</v>
      </c>
      <c r="R10" s="78">
        <v>34896.026432713305</v>
      </c>
      <c r="S10" s="85">
        <v>64178.792763147198</v>
      </c>
    </row>
    <row r="11" spans="1:19" ht="15" thickBot="1" x14ac:dyDescent="0.2">
      <c r="A11" s="104" t="s">
        <v>28</v>
      </c>
      <c r="B11" s="105">
        <v>208033</v>
      </c>
      <c r="C11" s="106">
        <v>164136</v>
      </c>
      <c r="D11" s="106">
        <v>43897</v>
      </c>
      <c r="E11" s="107">
        <v>0.78899020828426258</v>
      </c>
      <c r="F11" s="108">
        <v>0.21100979171573742</v>
      </c>
      <c r="G11" s="109">
        <v>231173</v>
      </c>
      <c r="H11" s="110">
        <v>182393.23341969785</v>
      </c>
      <c r="I11" s="111">
        <v>48779.766580302166</v>
      </c>
      <c r="J11" s="105">
        <v>231173</v>
      </c>
      <c r="K11" s="106">
        <v>182393.23341969785</v>
      </c>
      <c r="L11" s="106">
        <v>23826.238816900215</v>
      </c>
      <c r="M11" s="106">
        <v>48779.766580302166</v>
      </c>
      <c r="N11" s="112">
        <v>82513.649059590607</v>
      </c>
      <c r="O11" s="105">
        <v>231173</v>
      </c>
      <c r="P11" s="106">
        <v>182393.23341969785</v>
      </c>
      <c r="Q11" s="106">
        <v>15268.486775777066</v>
      </c>
      <c r="R11" s="106">
        <v>48779.766580302166</v>
      </c>
      <c r="S11" s="112">
        <v>275757.37293135416</v>
      </c>
    </row>
    <row r="12" spans="1:19" ht="15" thickBot="1" x14ac:dyDescent="0.2">
      <c r="A12" s="113" t="s">
        <v>92</v>
      </c>
      <c r="B12" s="114">
        <v>2948724</v>
      </c>
      <c r="C12" s="115">
        <v>1844270</v>
      </c>
      <c r="D12" s="115">
        <v>1104454</v>
      </c>
      <c r="E12" s="116"/>
      <c r="F12" s="117"/>
      <c r="G12" s="118">
        <v>2977819</v>
      </c>
      <c r="H12" s="115">
        <v>1874480.7190119973</v>
      </c>
      <c r="I12" s="119">
        <v>1103338.2809880031</v>
      </c>
      <c r="J12" s="118">
        <v>2977819</v>
      </c>
      <c r="K12" s="115">
        <v>1874480.7190119973</v>
      </c>
      <c r="L12" s="115">
        <v>507094.61443368602</v>
      </c>
      <c r="M12" s="115">
        <v>1103338.2809880031</v>
      </c>
      <c r="N12" s="119">
        <v>897310.43879770231</v>
      </c>
      <c r="O12" s="118">
        <v>2977819</v>
      </c>
      <c r="P12" s="115">
        <v>1874480.7190119973</v>
      </c>
      <c r="Q12" s="115">
        <v>128451.05757206166</v>
      </c>
      <c r="R12" s="115">
        <v>1103338.2809880031</v>
      </c>
      <c r="S12" s="119">
        <v>2071548.9424158779</v>
      </c>
    </row>
    <row r="13" spans="1:19" ht="15" thickBot="1" x14ac:dyDescent="0.2">
      <c r="B13" s="120"/>
      <c r="C13" s="120"/>
      <c r="D13" s="120"/>
      <c r="E13" s="123"/>
      <c r="F13" s="121"/>
      <c r="G13" s="87" t="s">
        <v>103</v>
      </c>
      <c r="H13" s="89"/>
      <c r="I13" s="90"/>
      <c r="J13" s="88"/>
      <c r="K13" s="89">
        <v>4382224.0532313883</v>
      </c>
      <c r="L13" s="89">
        <v>1404405.0532313883</v>
      </c>
      <c r="M13" s="89"/>
      <c r="N13" s="90"/>
      <c r="O13" s="88"/>
      <c r="P13" s="89">
        <v>5177818.9999879403</v>
      </c>
      <c r="Q13" s="89">
        <v>2199999.9999879394</v>
      </c>
      <c r="R13" s="89"/>
      <c r="S13" s="90"/>
    </row>
    <row r="14" spans="1:19" x14ac:dyDescent="0.15">
      <c r="A14" s="208" t="s">
        <v>140</v>
      </c>
      <c r="B14" s="209"/>
      <c r="C14" s="209"/>
      <c r="D14" s="210"/>
      <c r="E14" s="124"/>
      <c r="F14" s="122"/>
    </row>
    <row r="15" spans="1:19" ht="16" thickBot="1" x14ac:dyDescent="0.2">
      <c r="A15" s="100" t="s">
        <v>19</v>
      </c>
      <c r="B15" s="101" t="s">
        <v>34</v>
      </c>
      <c r="C15" s="102" t="s">
        <v>49</v>
      </c>
      <c r="D15" s="103" t="s">
        <v>51</v>
      </c>
    </row>
    <row r="16" spans="1:19" x14ac:dyDescent="0.15">
      <c r="A16" s="91" t="s">
        <v>17</v>
      </c>
      <c r="B16" s="96">
        <v>600925</v>
      </c>
      <c r="C16" s="97">
        <v>369904.74452818494</v>
      </c>
      <c r="D16" s="98">
        <v>231020.25547181506</v>
      </c>
    </row>
    <row r="17" spans="1:9" x14ac:dyDescent="0.15">
      <c r="A17" s="81" t="s">
        <v>21</v>
      </c>
      <c r="B17" s="84">
        <v>420081</v>
      </c>
      <c r="C17" s="80">
        <v>316686.18450113013</v>
      </c>
      <c r="D17" s="86">
        <v>103394.81549886988</v>
      </c>
    </row>
    <row r="18" spans="1:9" x14ac:dyDescent="0.15">
      <c r="A18" s="81" t="s">
        <v>22</v>
      </c>
      <c r="B18" s="84">
        <v>121392</v>
      </c>
      <c r="C18" s="80">
        <v>84125.109556779338</v>
      </c>
      <c r="D18" s="86">
        <v>37266.890443220655</v>
      </c>
    </row>
    <row r="19" spans="1:9" x14ac:dyDescent="0.15">
      <c r="A19" s="81" t="s">
        <v>23</v>
      </c>
      <c r="B19" s="84">
        <v>56588</v>
      </c>
      <c r="C19" s="80">
        <v>45390.166190553187</v>
      </c>
      <c r="D19" s="86">
        <v>11197.833809446809</v>
      </c>
      <c r="I19" s="122"/>
    </row>
    <row r="20" spans="1:9" x14ac:dyDescent="0.15">
      <c r="A20" s="81" t="s">
        <v>24</v>
      </c>
      <c r="B20" s="84">
        <v>383132</v>
      </c>
      <c r="C20" s="80">
        <v>114849.8337459996</v>
      </c>
      <c r="D20" s="86">
        <v>268282.16625400039</v>
      </c>
    </row>
    <row r="21" spans="1:9" x14ac:dyDescent="0.15">
      <c r="A21" s="81" t="s">
        <v>25</v>
      </c>
      <c r="B21" s="84">
        <v>297140</v>
      </c>
      <c r="C21" s="80">
        <v>187963.1749193295</v>
      </c>
      <c r="D21" s="86">
        <v>109176.82508067049</v>
      </c>
    </row>
    <row r="22" spans="1:9" x14ac:dyDescent="0.15">
      <c r="A22" s="81" t="s">
        <v>26</v>
      </c>
      <c r="B22" s="84">
        <v>713593</v>
      </c>
      <c r="C22" s="80">
        <v>454269.29858303582</v>
      </c>
      <c r="D22" s="86">
        <v>259323.70141696421</v>
      </c>
    </row>
    <row r="23" spans="1:9" x14ac:dyDescent="0.15">
      <c r="A23" s="81" t="s">
        <v>27</v>
      </c>
      <c r="B23" s="84">
        <v>153795</v>
      </c>
      <c r="C23" s="80">
        <v>118898.97356728668</v>
      </c>
      <c r="D23" s="86">
        <v>34896.026432713305</v>
      </c>
    </row>
    <row r="24" spans="1:9" ht="15" thickBot="1" x14ac:dyDescent="0.2">
      <c r="A24" s="104" t="s">
        <v>28</v>
      </c>
      <c r="B24" s="109">
        <v>231173</v>
      </c>
      <c r="C24" s="110">
        <v>182393.23341969785</v>
      </c>
      <c r="D24" s="111">
        <v>48779.766580302166</v>
      </c>
    </row>
    <row r="25" spans="1:9" ht="15" thickBot="1" x14ac:dyDescent="0.2">
      <c r="A25" s="113" t="s">
        <v>92</v>
      </c>
      <c r="B25" s="118">
        <v>2977819</v>
      </c>
      <c r="C25" s="115">
        <v>1874480.7190119973</v>
      </c>
      <c r="D25" s="119">
        <v>1103338.2809880031</v>
      </c>
    </row>
    <row r="26" spans="1:9" ht="15" thickBot="1" x14ac:dyDescent="0.2"/>
    <row r="27" spans="1:9" x14ac:dyDescent="0.15">
      <c r="A27" s="205" t="s">
        <v>67</v>
      </c>
      <c r="B27" s="206"/>
      <c r="C27" s="206"/>
      <c r="D27" s="206"/>
      <c r="E27" s="206"/>
      <c r="F27" s="207"/>
    </row>
    <row r="28" spans="1:9" ht="46" thickBot="1" x14ac:dyDescent="0.2">
      <c r="A28" s="100" t="s">
        <v>19</v>
      </c>
      <c r="B28" s="101" t="s">
        <v>74</v>
      </c>
      <c r="C28" s="102" t="s">
        <v>68</v>
      </c>
      <c r="D28" s="102" t="s">
        <v>69</v>
      </c>
      <c r="E28" s="102" t="s">
        <v>70</v>
      </c>
      <c r="F28" s="103" t="s">
        <v>71</v>
      </c>
    </row>
    <row r="29" spans="1:9" x14ac:dyDescent="0.15">
      <c r="A29" s="91" t="s">
        <v>17</v>
      </c>
      <c r="B29" s="92">
        <v>600925</v>
      </c>
      <c r="C29" s="93">
        <v>369904.74452818494</v>
      </c>
      <c r="D29" s="93">
        <v>67791.9331958814</v>
      </c>
      <c r="E29" s="93">
        <v>231020.25547181506</v>
      </c>
      <c r="F29" s="99">
        <v>273962.93063692795</v>
      </c>
    </row>
    <row r="30" spans="1:9" x14ac:dyDescent="0.15">
      <c r="A30" s="81" t="s">
        <v>21</v>
      </c>
      <c r="B30" s="82">
        <v>420081</v>
      </c>
      <c r="C30" s="78">
        <v>316686.18450113013</v>
      </c>
      <c r="D30" s="78">
        <v>84890.770973781298</v>
      </c>
      <c r="E30" s="78">
        <v>103394.81549886988</v>
      </c>
      <c r="F30" s="85">
        <v>79491.221925433056</v>
      </c>
    </row>
    <row r="31" spans="1:9" x14ac:dyDescent="0.15">
      <c r="A31" s="81" t="s">
        <v>22</v>
      </c>
      <c r="B31" s="82">
        <v>121392</v>
      </c>
      <c r="C31" s="78">
        <v>84125.109556779338</v>
      </c>
      <c r="D31" s="78">
        <v>17247.199584522474</v>
      </c>
      <c r="E31" s="78">
        <v>37266.890443220655</v>
      </c>
      <c r="F31" s="85">
        <v>32646.934572439022</v>
      </c>
    </row>
    <row r="32" spans="1:9" x14ac:dyDescent="0.15">
      <c r="A32" s="81" t="s">
        <v>23</v>
      </c>
      <c r="B32" s="82">
        <v>56588</v>
      </c>
      <c r="C32" s="78">
        <v>45390.166190553187</v>
      </c>
      <c r="D32" s="78">
        <v>30473.668854116262</v>
      </c>
      <c r="E32" s="78">
        <v>11197.833809446809</v>
      </c>
      <c r="F32" s="85">
        <v>8052.1303565237149</v>
      </c>
    </row>
    <row r="33" spans="1:6" x14ac:dyDescent="0.15">
      <c r="A33" s="81" t="s">
        <v>24</v>
      </c>
      <c r="B33" s="82">
        <v>383132</v>
      </c>
      <c r="C33" s="78">
        <v>114849.8337459996</v>
      </c>
      <c r="D33" s="78">
        <v>3871.7671539110293</v>
      </c>
      <c r="E33" s="78">
        <v>268282.16625400039</v>
      </c>
      <c r="F33" s="85">
        <v>103389.12050752844</v>
      </c>
    </row>
    <row r="34" spans="1:6" x14ac:dyDescent="0.15">
      <c r="A34" s="81" t="s">
        <v>25</v>
      </c>
      <c r="B34" s="82">
        <v>297140</v>
      </c>
      <c r="C34" s="78">
        <v>187963.1749193295</v>
      </c>
      <c r="D34" s="78">
        <v>51190.702370511121</v>
      </c>
      <c r="E34" s="78">
        <v>109176.82508067049</v>
      </c>
      <c r="F34" s="85">
        <v>86358.510585085838</v>
      </c>
    </row>
    <row r="35" spans="1:6" x14ac:dyDescent="0.15">
      <c r="A35" s="81" t="s">
        <v>26</v>
      </c>
      <c r="B35" s="82">
        <v>713593</v>
      </c>
      <c r="C35" s="78">
        <v>454269.29858303582</v>
      </c>
      <c r="D35" s="78">
        <v>222653.13374628525</v>
      </c>
      <c r="E35" s="78">
        <v>259323.70141696421</v>
      </c>
      <c r="F35" s="85">
        <v>213141.59455020996</v>
      </c>
    </row>
    <row r="36" spans="1:6" x14ac:dyDescent="0.15">
      <c r="A36" s="81" t="s">
        <v>27</v>
      </c>
      <c r="B36" s="82">
        <v>153795</v>
      </c>
      <c r="C36" s="78">
        <v>118898.97356728668</v>
      </c>
      <c r="D36" s="78">
        <v>5149.1997377769458</v>
      </c>
      <c r="E36" s="78">
        <v>34896.026432713305</v>
      </c>
      <c r="F36" s="85">
        <v>17754.346603963786</v>
      </c>
    </row>
    <row r="37" spans="1:6" ht="15" thickBot="1" x14ac:dyDescent="0.2">
      <c r="A37" s="104" t="s">
        <v>28</v>
      </c>
      <c r="B37" s="105">
        <v>231173</v>
      </c>
      <c r="C37" s="106">
        <v>182393.23341969785</v>
      </c>
      <c r="D37" s="106">
        <v>23826.238816900215</v>
      </c>
      <c r="E37" s="106">
        <v>48779.766580302166</v>
      </c>
      <c r="F37" s="112">
        <v>82513.649059590607</v>
      </c>
    </row>
    <row r="38" spans="1:6" ht="15" thickBot="1" x14ac:dyDescent="0.2">
      <c r="A38" s="113" t="s">
        <v>92</v>
      </c>
      <c r="B38" s="118">
        <v>2977819</v>
      </c>
      <c r="C38" s="115">
        <v>1874480.7190119973</v>
      </c>
      <c r="D38" s="115">
        <v>507094.61443368602</v>
      </c>
      <c r="E38" s="115">
        <v>1103338.2809880031</v>
      </c>
      <c r="F38" s="119">
        <v>897310.43879770231</v>
      </c>
    </row>
    <row r="39" spans="1:6" ht="15" thickBot="1" x14ac:dyDescent="0.2"/>
    <row r="40" spans="1:6" x14ac:dyDescent="0.15">
      <c r="A40" s="205" t="s">
        <v>72</v>
      </c>
      <c r="B40" s="206"/>
      <c r="C40" s="206"/>
      <c r="D40" s="206"/>
      <c r="E40" s="206"/>
      <c r="F40" s="207"/>
    </row>
    <row r="41" spans="1:6" ht="46" thickBot="1" x14ac:dyDescent="0.2">
      <c r="A41" s="100" t="s">
        <v>19</v>
      </c>
      <c r="B41" s="101" t="s">
        <v>74</v>
      </c>
      <c r="C41" s="102" t="s">
        <v>68</v>
      </c>
      <c r="D41" s="102" t="s">
        <v>69</v>
      </c>
      <c r="E41" s="102" t="s">
        <v>70</v>
      </c>
      <c r="F41" s="103" t="s">
        <v>71</v>
      </c>
    </row>
    <row r="42" spans="1:6" x14ac:dyDescent="0.15">
      <c r="A42" s="91" t="s">
        <v>17</v>
      </c>
      <c r="B42" s="92">
        <v>600925</v>
      </c>
      <c r="C42" s="93">
        <v>369904.74452818494</v>
      </c>
      <c r="D42" s="93">
        <v>18994.32143626114</v>
      </c>
      <c r="E42" s="93">
        <v>231020.25547181506</v>
      </c>
      <c r="F42" s="99">
        <v>295194.8672185106</v>
      </c>
    </row>
    <row r="43" spans="1:6" x14ac:dyDescent="0.15">
      <c r="A43" s="81" t="s">
        <v>21</v>
      </c>
      <c r="B43" s="82">
        <v>420081</v>
      </c>
      <c r="C43" s="78">
        <v>316686.18450113013</v>
      </c>
      <c r="D43" s="78">
        <v>19596.243103841945</v>
      </c>
      <c r="E43" s="78">
        <v>103394.81549886988</v>
      </c>
      <c r="F43" s="85">
        <v>210937.95506007638</v>
      </c>
    </row>
    <row r="44" spans="1:6" x14ac:dyDescent="0.15">
      <c r="A44" s="81" t="s">
        <v>22</v>
      </c>
      <c r="B44" s="82">
        <v>121392</v>
      </c>
      <c r="C44" s="78">
        <v>84125.109556779338</v>
      </c>
      <c r="D44" s="78">
        <v>6730.0469290648516</v>
      </c>
      <c r="E44" s="78">
        <v>37266.890443220655</v>
      </c>
      <c r="F44" s="85">
        <v>56364.399952105945</v>
      </c>
    </row>
    <row r="45" spans="1:6" x14ac:dyDescent="0.15">
      <c r="A45" s="81" t="s">
        <v>23</v>
      </c>
      <c r="B45" s="82">
        <v>56588</v>
      </c>
      <c r="C45" s="78">
        <v>45390.166190553187</v>
      </c>
      <c r="D45" s="78">
        <v>5855.2637175472228</v>
      </c>
      <c r="E45" s="78">
        <v>11197.833809446809</v>
      </c>
      <c r="F45" s="85">
        <v>20175.522602877085</v>
      </c>
    </row>
    <row r="46" spans="1:6" x14ac:dyDescent="0.15">
      <c r="A46" s="81" t="s">
        <v>24</v>
      </c>
      <c r="B46" s="82">
        <v>383132</v>
      </c>
      <c r="C46" s="78">
        <v>114849.8337459996</v>
      </c>
      <c r="D46" s="78">
        <v>293.64322161566747</v>
      </c>
      <c r="E46" s="78">
        <v>268282.16625400039</v>
      </c>
      <c r="F46" s="85">
        <v>74732.360120329322</v>
      </c>
    </row>
    <row r="47" spans="1:6" x14ac:dyDescent="0.15">
      <c r="A47" s="81" t="s">
        <v>25</v>
      </c>
      <c r="B47" s="82">
        <v>297140</v>
      </c>
      <c r="C47" s="78">
        <v>187963.1749193295</v>
      </c>
      <c r="D47" s="78">
        <v>17783.604103115966</v>
      </c>
      <c r="E47" s="78">
        <v>109176.82508067049</v>
      </c>
      <c r="F47" s="85">
        <v>239460.89257837381</v>
      </c>
    </row>
    <row r="48" spans="1:6" x14ac:dyDescent="0.15">
      <c r="A48" s="81" t="s">
        <v>26</v>
      </c>
      <c r="B48" s="82">
        <v>713593</v>
      </c>
      <c r="C48" s="78">
        <v>454269.29858303582</v>
      </c>
      <c r="D48" s="78">
        <v>42389.16521363888</v>
      </c>
      <c r="E48" s="78">
        <v>259323.70141696421</v>
      </c>
      <c r="F48" s="85">
        <v>834746.7791891034</v>
      </c>
    </row>
    <row r="49" spans="1:6" x14ac:dyDescent="0.15">
      <c r="A49" s="81" t="s">
        <v>27</v>
      </c>
      <c r="B49" s="82">
        <v>153795</v>
      </c>
      <c r="C49" s="78">
        <v>118898.97356728668</v>
      </c>
      <c r="D49" s="78">
        <v>1540.2830711989016</v>
      </c>
      <c r="E49" s="78">
        <v>34896.026432713305</v>
      </c>
      <c r="F49" s="85">
        <v>64178.792763147198</v>
      </c>
    </row>
    <row r="50" spans="1:6" ht="15" thickBot="1" x14ac:dyDescent="0.2">
      <c r="A50" s="104" t="s">
        <v>28</v>
      </c>
      <c r="B50" s="105">
        <v>231173</v>
      </c>
      <c r="C50" s="106">
        <v>182393.23341969785</v>
      </c>
      <c r="D50" s="106">
        <v>15268.486775777066</v>
      </c>
      <c r="E50" s="106">
        <v>48779.766580302166</v>
      </c>
      <c r="F50" s="112">
        <v>275757.37293135416</v>
      </c>
    </row>
    <row r="51" spans="1:6" ht="15" thickBot="1" x14ac:dyDescent="0.2">
      <c r="A51" s="113" t="s">
        <v>92</v>
      </c>
      <c r="B51" s="118">
        <v>2977819</v>
      </c>
      <c r="C51" s="115">
        <v>1874480.7190119973</v>
      </c>
      <c r="D51" s="115">
        <v>128451.05757206166</v>
      </c>
      <c r="E51" s="115">
        <v>1103338.2809880031</v>
      </c>
      <c r="F51" s="119">
        <v>2071548.9424158779</v>
      </c>
    </row>
  </sheetData>
  <mergeCells count="7">
    <mergeCell ref="J1:N1"/>
    <mergeCell ref="O1:S1"/>
    <mergeCell ref="A14:D14"/>
    <mergeCell ref="A40:F40"/>
    <mergeCell ref="A27:F27"/>
    <mergeCell ref="A1:F1"/>
    <mergeCell ref="G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README</vt:lpstr>
      <vt:lpstr>Abbreviated Summary Table</vt:lpstr>
      <vt:lpstr>ResOutdoorSummary</vt:lpstr>
      <vt:lpstr>SF_Outdoor_2020</vt:lpstr>
      <vt:lpstr>SF_BAU_Outdoor_2070</vt:lpstr>
      <vt:lpstr>SF_SPUR_Outdoor_2070</vt:lpstr>
      <vt:lpstr>MF_Outdoor</vt:lpstr>
      <vt:lpstr>2070HousingTypeTables</vt:lpstr>
      <vt:lpstr>2070HousingAppendixTable</vt:lpstr>
      <vt:lpstr>ETPrecipCalcs</vt:lpstr>
      <vt:lpstr>IrrigatedAreaAppendixTable</vt:lpstr>
      <vt:lpstr>MF AppendixTable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Thebo</dc:creator>
  <cp:lastModifiedBy>Karen Steen</cp:lastModifiedBy>
  <dcterms:created xsi:type="dcterms:W3CDTF">2020-12-18T19:09:11Z</dcterms:created>
  <dcterms:modified xsi:type="dcterms:W3CDTF">2021-10-19T17:27:56Z</dcterms:modified>
</cp:coreProperties>
</file>